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ocal_ccarrera\INetCache\Content.Outlook\L2VY4YQC\"/>
    </mc:Choice>
  </mc:AlternateContent>
  <xr:revisionPtr revIDLastSave="0" documentId="13_ncr:1_{DB1799F0-C096-4835-9983-FEB33B32FF81}" xr6:coauthVersionLast="47" xr6:coauthVersionMax="47" xr10:uidLastSave="{00000000-0000-0000-0000-000000000000}"/>
  <bookViews>
    <workbookView xWindow="-108" yWindow="-108" windowWidth="23256" windowHeight="12576" firstSheet="2" activeTab="2" xr2:uid="{D946C6CA-5B22-406C-BBCA-D64658115F27}"/>
  </bookViews>
  <sheets>
    <sheet name="CP_IMPORTE" sheetId="1" state="veryHidden" r:id="rId1"/>
    <sheet name="EDAD_TASA" sheetId="2" state="veryHidden" r:id="rId2"/>
    <sheet name="Prima total Anual " sheetId="4" r:id="rId3"/>
    <sheet name="Original " sheetId="6" state="veryHidden" r:id="rId4"/>
  </sheets>
  <definedNames>
    <definedName name="_xlnm._FilterDatabase" localSheetId="0" hidden="1">CP_IMPORTE!$A$1:$C$51</definedName>
    <definedName name="_xlnm.Print_Area" localSheetId="2">'Prima total Anual '!$A$1:$S$34</definedName>
    <definedName name="NIL">#REF!</definedName>
    <definedName name="Tabla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" i="4" l="1"/>
  <c r="G11" i="4"/>
  <c r="Q13" i="4"/>
  <c r="Q14" i="4"/>
  <c r="Q15" i="4"/>
  <c r="Q16" i="4"/>
  <c r="Q17" i="4"/>
  <c r="Q18" i="4"/>
  <c r="Q19" i="4"/>
  <c r="Q20" i="4"/>
  <c r="F11" i="4"/>
  <c r="F12" i="4"/>
  <c r="P12" i="4" s="1"/>
  <c r="F13" i="4"/>
  <c r="P13" i="4" s="1"/>
  <c r="F14" i="4"/>
  <c r="P14" i="4" s="1"/>
  <c r="F15" i="4"/>
  <c r="P15" i="4" s="1"/>
  <c r="F16" i="4"/>
  <c r="P16" i="4" s="1"/>
  <c r="F17" i="4"/>
  <c r="P17" i="4" s="1"/>
  <c r="F18" i="4"/>
  <c r="P18" i="4" s="1"/>
  <c r="F19" i="4"/>
  <c r="P19" i="4" s="1"/>
  <c r="F20" i="4"/>
  <c r="P20" i="4" s="1"/>
  <c r="G12" i="4"/>
  <c r="E12" i="4" s="1"/>
  <c r="G13" i="4"/>
  <c r="E13" i="4" s="1"/>
  <c r="G14" i="4"/>
  <c r="E14" i="4" s="1"/>
  <c r="G15" i="4"/>
  <c r="E15" i="4" s="1"/>
  <c r="G16" i="4"/>
  <c r="E16" i="4" s="1"/>
  <c r="G17" i="4"/>
  <c r="E17" i="4" s="1"/>
  <c r="G18" i="4"/>
  <c r="E18" i="4" s="1"/>
  <c r="G19" i="4"/>
  <c r="E19" i="4" s="1"/>
  <c r="G20" i="4"/>
  <c r="E20" i="4" s="1"/>
  <c r="D3" i="4"/>
  <c r="N20" i="4" l="1"/>
  <c r="O20" i="4"/>
  <c r="N19" i="4"/>
  <c r="O19" i="4"/>
  <c r="N18" i="4"/>
  <c r="O18" i="4"/>
  <c r="N17" i="4"/>
  <c r="O17" i="4"/>
  <c r="N16" i="4"/>
  <c r="O16" i="4"/>
  <c r="N15" i="4"/>
  <c r="O15" i="4"/>
  <c r="N14" i="4"/>
  <c r="O14" i="4"/>
  <c r="N13" i="4"/>
  <c r="O13" i="4"/>
  <c r="N12" i="4"/>
  <c r="O12" i="4"/>
  <c r="H20" i="4"/>
  <c r="H19" i="4"/>
  <c r="H18" i="4"/>
  <c r="H17" i="4"/>
  <c r="H16" i="4"/>
  <c r="H15" i="4"/>
  <c r="H14" i="4"/>
  <c r="H13" i="4"/>
  <c r="H12" i="4"/>
  <c r="J11" i="4"/>
  <c r="M11" i="4"/>
  <c r="L11" i="4"/>
  <c r="K11" i="4"/>
  <c r="H11" i="4"/>
  <c r="L20" i="4"/>
  <c r="M20" i="4"/>
  <c r="L19" i="4"/>
  <c r="M19" i="4"/>
  <c r="L18" i="4"/>
  <c r="M18" i="4"/>
  <c r="L17" i="4"/>
  <c r="M17" i="4"/>
  <c r="L16" i="4"/>
  <c r="M16" i="4"/>
  <c r="L15" i="4"/>
  <c r="M15" i="4"/>
  <c r="L14" i="4"/>
  <c r="M14" i="4"/>
  <c r="L13" i="4"/>
  <c r="M13" i="4"/>
  <c r="L12" i="4"/>
  <c r="M12" i="4"/>
  <c r="J20" i="4"/>
  <c r="K20" i="4"/>
  <c r="J19" i="4"/>
  <c r="K19" i="4"/>
  <c r="J18" i="4"/>
  <c r="K18" i="4"/>
  <c r="J17" i="4"/>
  <c r="K17" i="4"/>
  <c r="J16" i="4"/>
  <c r="K16" i="4"/>
  <c r="J15" i="4"/>
  <c r="K15" i="4"/>
  <c r="J14" i="4"/>
  <c r="K14" i="4"/>
  <c r="J13" i="4"/>
  <c r="K13" i="4"/>
  <c r="J12" i="4"/>
  <c r="K12" i="4"/>
  <c r="I20" i="4"/>
  <c r="I19" i="4"/>
  <c r="I18" i="4"/>
  <c r="I17" i="4"/>
  <c r="I16" i="4"/>
  <c r="I15" i="4"/>
  <c r="I14" i="4"/>
  <c r="I13" i="4"/>
  <c r="I12" i="4"/>
  <c r="E11" i="4"/>
  <c r="I11" i="4" s="1"/>
  <c r="N11" i="4" s="1"/>
  <c r="J22" i="2"/>
  <c r="E8" i="6"/>
  <c r="M8" i="6" s="1"/>
  <c r="F8" i="6"/>
  <c r="G8" i="6" s="1"/>
  <c r="F9" i="6"/>
  <c r="G9" i="6"/>
  <c r="E9" i="6"/>
  <c r="K9" i="6" s="1"/>
  <c r="F10" i="6"/>
  <c r="G10" i="6"/>
  <c r="E10" i="6"/>
  <c r="H10" i="6" s="1"/>
  <c r="I10" i="6" s="1"/>
  <c r="F11" i="6"/>
  <c r="G11" i="6"/>
  <c r="E11" i="6"/>
  <c r="F12" i="6"/>
  <c r="G12" i="6"/>
  <c r="E12" i="6"/>
  <c r="K12" i="6" s="1"/>
  <c r="F13" i="6"/>
  <c r="G13" i="6"/>
  <c r="E13" i="6"/>
  <c r="L13" i="6" s="1"/>
  <c r="F14" i="6"/>
  <c r="G14" i="6"/>
  <c r="E14" i="6"/>
  <c r="H14" i="6" s="1"/>
  <c r="I14" i="6" s="1"/>
  <c r="F15" i="6"/>
  <c r="G15" i="6"/>
  <c r="E15" i="6"/>
  <c r="F16" i="6"/>
  <c r="G16" i="6"/>
  <c r="E16" i="6"/>
  <c r="K16" i="6" s="1"/>
  <c r="C2" i="2"/>
  <c r="C56" i="2"/>
  <c r="C31" i="2"/>
  <c r="C34" i="2"/>
  <c r="C10" i="2"/>
  <c r="C55" i="2"/>
  <c r="C27" i="2"/>
  <c r="C15" i="2"/>
  <c r="C46" i="2"/>
  <c r="C33" i="2"/>
  <c r="C22" i="2"/>
  <c r="K22" i="2" s="1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4" i="2"/>
  <c r="C53" i="2"/>
  <c r="C52" i="2"/>
  <c r="C51" i="2"/>
  <c r="C50" i="2"/>
  <c r="C49" i="2"/>
  <c r="C48" i="2"/>
  <c r="C47" i="2"/>
  <c r="C45" i="2"/>
  <c r="C44" i="2"/>
  <c r="C43" i="2"/>
  <c r="C42" i="2"/>
  <c r="C41" i="2"/>
  <c r="C40" i="2"/>
  <c r="C39" i="2"/>
  <c r="C38" i="2"/>
  <c r="C37" i="2"/>
  <c r="C36" i="2"/>
  <c r="C35" i="2"/>
  <c r="C32" i="2"/>
  <c r="C30" i="2"/>
  <c r="C29" i="2"/>
  <c r="C28" i="2"/>
  <c r="C26" i="2"/>
  <c r="C25" i="2"/>
  <c r="C24" i="2"/>
  <c r="C23" i="2"/>
  <c r="C21" i="2"/>
  <c r="C5" i="2"/>
  <c r="C6" i="2"/>
  <c r="C7" i="2"/>
  <c r="C8" i="2"/>
  <c r="C9" i="2"/>
  <c r="C11" i="2"/>
  <c r="C12" i="2"/>
  <c r="C13" i="2"/>
  <c r="C14" i="2"/>
  <c r="C16" i="2"/>
  <c r="C17" i="2"/>
  <c r="C18" i="2"/>
  <c r="C19" i="2"/>
  <c r="C20" i="2"/>
  <c r="C4" i="2"/>
  <c r="C3" i="2"/>
  <c r="P11" i="4" l="1"/>
  <c r="O11" i="4"/>
  <c r="Q11" i="4" s="1"/>
  <c r="O22" i="2"/>
  <c r="N22" i="2"/>
  <c r="P22" i="2" s="1"/>
  <c r="J15" i="6"/>
  <c r="J11" i="6"/>
  <c r="J10" i="6"/>
  <c r="M13" i="6"/>
  <c r="K15" i="6"/>
  <c r="J16" i="6"/>
  <c r="K14" i="6"/>
  <c r="J14" i="6"/>
  <c r="H11" i="6"/>
  <c r="I11" i="6" s="1"/>
  <c r="N11" i="6" s="1"/>
  <c r="Q11" i="6" s="1"/>
  <c r="H12" i="6"/>
  <c r="I12" i="6" s="1"/>
  <c r="M9" i="6"/>
  <c r="L11" i="6"/>
  <c r="M10" i="6"/>
  <c r="L16" i="6"/>
  <c r="J12" i="6"/>
  <c r="K11" i="6"/>
  <c r="L10" i="6"/>
  <c r="M14" i="6"/>
  <c r="M12" i="6"/>
  <c r="M16" i="6"/>
  <c r="L14" i="6"/>
  <c r="L12" i="6"/>
  <c r="M11" i="6"/>
  <c r="H16" i="6"/>
  <c r="I16" i="6" s="1"/>
  <c r="J9" i="6"/>
  <c r="P11" i="6"/>
  <c r="K13" i="6"/>
  <c r="H15" i="6"/>
  <c r="I15" i="6" s="1"/>
  <c r="J13" i="6"/>
  <c r="H9" i="6"/>
  <c r="I9" i="6" s="1"/>
  <c r="L8" i="6"/>
  <c r="M15" i="6"/>
  <c r="K8" i="6"/>
  <c r="L15" i="6"/>
  <c r="H13" i="6"/>
  <c r="I13" i="6" s="1"/>
  <c r="K10" i="6"/>
  <c r="L9" i="6"/>
  <c r="J8" i="6"/>
  <c r="H8" i="6"/>
  <c r="I8" i="6" s="1"/>
  <c r="Q21" i="4" l="1"/>
  <c r="O11" i="6"/>
  <c r="N12" i="6"/>
  <c r="O12" i="6" s="1"/>
  <c r="N14" i="6"/>
  <c r="O14" i="6" s="1"/>
  <c r="N10" i="6"/>
  <c r="O10" i="6" s="1"/>
  <c r="N16" i="6"/>
  <c r="P16" i="6" s="1"/>
  <c r="N9" i="6"/>
  <c r="O9" i="6" s="1"/>
  <c r="N8" i="6"/>
  <c r="P8" i="6" s="1"/>
  <c r="O8" i="6"/>
  <c r="N13" i="6"/>
  <c r="N15" i="6"/>
  <c r="P10" i="6" l="1"/>
  <c r="P9" i="6"/>
  <c r="Q9" i="6" s="1"/>
  <c r="O16" i="6"/>
  <c r="Q16" i="6" s="1"/>
  <c r="P12" i="6"/>
  <c r="Q12" i="6" s="1"/>
  <c r="Q10" i="6"/>
  <c r="Q8" i="6"/>
  <c r="P14" i="6"/>
  <c r="Q14" i="6" s="1"/>
  <c r="P15" i="6"/>
  <c r="O15" i="6"/>
  <c r="O13" i="6"/>
  <c r="P13" i="6"/>
  <c r="Q15" i="6" l="1"/>
  <c r="Q13" i="6"/>
  <c r="Q17" i="6" s="1"/>
</calcChain>
</file>

<file path=xl/sharedStrings.xml><?xml version="1.0" encoding="utf-8"?>
<sst xmlns="http://schemas.openxmlformats.org/spreadsheetml/2006/main" count="138" uniqueCount="114">
  <si>
    <t>PROVINCIA</t>
  </si>
  <si>
    <t>ALAVA (PAIS VASCO)</t>
  </si>
  <si>
    <t>ALBACETE (CASTILLA LA MANCHA)</t>
  </si>
  <si>
    <t>ALICANTE (COMUNIDAD VALENCIANA)</t>
  </si>
  <si>
    <t>ALMERIA (ANDALUCIA)</t>
  </si>
  <si>
    <t>ASTURIAS (PRINCIPADO DE ASTURIAS)</t>
  </si>
  <si>
    <t>AVILA (CASTILLA Y LEON)</t>
  </si>
  <si>
    <t>BADAJOZ (EXTREMADURA)</t>
  </si>
  <si>
    <t>BARCELONA (CATALUÑA)</t>
  </si>
  <si>
    <t>BURGOS (CASTILLA Y LEÓN)</t>
  </si>
  <si>
    <t>CACERES (EXTREMADURA)</t>
  </si>
  <si>
    <t>CADIZ (ANDALUCIA)</t>
  </si>
  <si>
    <t>CANTABRIA (CANTABRIA)</t>
  </si>
  <si>
    <t>CASTELLÓN (COMUNIDAD VALENCIANA)</t>
  </si>
  <si>
    <t>CIUDAD REAL (CASTILLA LA MANCHA)</t>
  </si>
  <si>
    <t>CORDOBA (ANDALUCIA)</t>
  </si>
  <si>
    <t>CUENCA (CASTILLA LA MANCHA)</t>
  </si>
  <si>
    <t>GIRONA (CATALUÑA)</t>
  </si>
  <si>
    <t>GRANADA (ANDALUCIA)</t>
  </si>
  <si>
    <t>GUADALAJARA (CASTILLA LA MANCHA)</t>
  </si>
  <si>
    <t>GUIPUZKOA (PAIS VASCO)</t>
  </si>
  <si>
    <t>HUELVA (ANDALUCIA)</t>
  </si>
  <si>
    <t>HUESCA (ARAGON)</t>
  </si>
  <si>
    <t>ISLAS BALEARES</t>
  </si>
  <si>
    <t>JAEN (ANDALUCIA)</t>
  </si>
  <si>
    <t>LA CORUÑA</t>
  </si>
  <si>
    <t>LA RIOJA</t>
  </si>
  <si>
    <t>LAS PALMAS (CANARIAS)</t>
  </si>
  <si>
    <t>LEON (CASTILLA Y LEON)</t>
  </si>
  <si>
    <t>LLEIDA (CATALUÑA)</t>
  </si>
  <si>
    <t>LUGO (GALICIA)</t>
  </si>
  <si>
    <t xml:space="preserve">MADRID </t>
  </si>
  <si>
    <t>MALAGA (ANDALUCIA)</t>
  </si>
  <si>
    <t>MURCIA</t>
  </si>
  <si>
    <t>NAVARRA</t>
  </si>
  <si>
    <t>OURENSE (GALICIA)</t>
  </si>
  <si>
    <t>PALENCIA (CASTILLA Y LEÓN)</t>
  </si>
  <si>
    <t>PONTEVEDRA (GALICIA)</t>
  </si>
  <si>
    <t>SALAMANCA (CASTILLA Y LEÓN)</t>
  </si>
  <si>
    <t>SANTA CRUZ DE TENERIFE (CANARIAS)</t>
  </si>
  <si>
    <t>SEGOVIA (CASTILLA Y LEÓN)</t>
  </si>
  <si>
    <t>SEVILLA (ANDALUCIA)</t>
  </si>
  <si>
    <t>SORIA (CASTILLA Y LEÓN)</t>
  </si>
  <si>
    <t>TARRAGONA (CATALUÑA)</t>
  </si>
  <si>
    <t>TERUEL (ARAGON)</t>
  </si>
  <si>
    <t>TOLEDO (CASTILLA LA MANCHA)</t>
  </si>
  <si>
    <t>VALENCIA (COMUNIDAD VALENCIANA)</t>
  </si>
  <si>
    <t>VALLADOLID (CASTILLA Y LEÓN)</t>
  </si>
  <si>
    <t>VIZCAYA (PAIS VASCO)</t>
  </si>
  <si>
    <t>ZAMORA (CASTILLA Y LEÓN)</t>
  </si>
  <si>
    <t>ZARAGOZA (ARAGÓN)</t>
  </si>
  <si>
    <t>CODIGO POSTAL</t>
  </si>
  <si>
    <t xml:space="preserve">IMPORTE SERVICIO </t>
  </si>
  <si>
    <t>EDAD</t>
  </si>
  <si>
    <t>DUELO</t>
  </si>
  <si>
    <t>TRASLADO</t>
  </si>
  <si>
    <t>ASISTENCIA</t>
  </si>
  <si>
    <t>S. LEGALES</t>
  </si>
  <si>
    <t>IMPUESTOS</t>
  </si>
  <si>
    <t>TASA POR MIL</t>
  </si>
  <si>
    <t>8% IPS+1,5 %0 LEA. Sumar a la P.Neta</t>
  </si>
  <si>
    <t>entierro</t>
  </si>
  <si>
    <t>entierro+garantias básicas(p.neta)</t>
  </si>
  <si>
    <t>prima total</t>
  </si>
  <si>
    <t>impuesto 8%</t>
  </si>
  <si>
    <t>impuesto 1,5 %</t>
  </si>
  <si>
    <t xml:space="preserve">Fecha de nacimiento </t>
  </si>
  <si>
    <t xml:space="preserve">EDAD </t>
  </si>
  <si>
    <t xml:space="preserve">Provincia </t>
  </si>
  <si>
    <t>ENTIERRO</t>
  </si>
  <si>
    <t>IMPORTE SERVICIO</t>
  </si>
  <si>
    <t>Nombre y Apellidos</t>
  </si>
  <si>
    <t>COD Postal Provincia</t>
  </si>
  <si>
    <t>PRIMA NETA</t>
  </si>
  <si>
    <t>Persona 2</t>
  </si>
  <si>
    <t>Persona 3</t>
  </si>
  <si>
    <t>Persona 4</t>
  </si>
  <si>
    <t>Persona 5</t>
  </si>
  <si>
    <t>Persona 6</t>
  </si>
  <si>
    <t>Persona 8</t>
  </si>
  <si>
    <t>Persona 9</t>
  </si>
  <si>
    <t>Persona 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</si>
  <si>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</si>
  <si>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</si>
  <si>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</si>
  <si>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</si>
  <si>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</si>
  <si>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</si>
  <si>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</si>
  <si>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</si>
  <si>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</si>
  <si>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Total</t>
  </si>
  <si>
    <t>www.mutuadepropietarios.es</t>
  </si>
  <si>
    <t>Tel.: 93 487 30 20 - 91 826 40 04</t>
  </si>
  <si>
    <t>Prima total Anual</t>
  </si>
  <si>
    <t xml:space="preserve">Capital Asegurado </t>
  </si>
  <si>
    <t>Asegurado 1</t>
  </si>
  <si>
    <t>Asegurado 2</t>
  </si>
  <si>
    <t>Asegurado 3</t>
  </si>
  <si>
    <t>Asegurado 4</t>
  </si>
  <si>
    <t>Asegurado 5</t>
  </si>
  <si>
    <t>Asegurado 6</t>
  </si>
  <si>
    <t>Asegurado 7</t>
  </si>
  <si>
    <t>Asegurado 8</t>
  </si>
  <si>
    <t>Asegurado 9</t>
  </si>
  <si>
    <t>Asegurado 10</t>
  </si>
  <si>
    <t xml:space="preserve">Este documento carece de validez contractual. </t>
  </si>
  <si>
    <t xml:space="preserve">Para realizar un proyecto de seguro deberá acceder a través del Área de mediadores de la web </t>
  </si>
  <si>
    <t>Servicio de entierro</t>
  </si>
  <si>
    <t>Atención al duelo</t>
  </si>
  <si>
    <t xml:space="preserve">CALCULADORA NUEVA PRODUCCIÓN DECESOS GMP </t>
  </si>
  <si>
    <t>Garantias</t>
  </si>
  <si>
    <t xml:space="preserve">Servicios legales </t>
  </si>
  <si>
    <t xml:space="preserve">Traslado y asistencia a los asegurados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</si>
</sst>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.00\ &quot;€&quot;"/>
    <numFmt numFmtId="165" formatCode="0.000000"/>
    <numFmt numFmtId="166" formatCode="#,##0.00000000\ &quot;€&quot;"/>
    <numFmt numFmtId="167" formatCode="#,##0.00_ ;[Red]\-#,##0.00\ "/>
    <numFmt numFmtId="168" formatCode="0.0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165" fontId="0" fillId="0" borderId="0" xfId="0" applyNumberFormat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64" fontId="0" fillId="0" borderId="0" xfId="0" applyNumberFormat="1"/>
    <xf numFmtId="164" fontId="1" fillId="2" borderId="0" xfId="0" applyNumberFormat="1" applyFont="1" applyFill="1" applyAlignment="1">
      <alignment horizontal="center"/>
    </xf>
    <xf numFmtId="0" fontId="0" fillId="3" borderId="4" xfId="0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5" xfId="0" applyFont="1" applyFill="1" applyBorder="1" applyAlignment="1">
      <alignment vertical="center"/>
    </xf>
    <xf numFmtId="164" fontId="0" fillId="0" borderId="6" xfId="0" applyNumberFormat="1" applyBorder="1"/>
    <xf numFmtId="164" fontId="0" fillId="0" borderId="7" xfId="0" applyNumberFormat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164" fontId="0" fillId="0" borderId="10" xfId="0" applyNumberFormat="1" applyBorder="1"/>
    <xf numFmtId="0" fontId="2" fillId="5" borderId="12" xfId="0" applyFont="1" applyFill="1" applyBorder="1" applyAlignment="1" applyProtection="1">
      <alignment horizontal="right"/>
      <protection locked="0"/>
    </xf>
    <xf numFmtId="0" fontId="2" fillId="5" borderId="4" xfId="0" applyFont="1" applyFill="1" applyBorder="1" applyProtection="1">
      <protection locked="0"/>
    </xf>
    <xf numFmtId="14" fontId="2" fillId="5" borderId="4" xfId="0" applyNumberFormat="1" applyFont="1" applyFill="1" applyBorder="1" applyProtection="1"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/>
    <xf numFmtId="0" fontId="2" fillId="7" borderId="4" xfId="0" applyFont="1" applyFill="1" applyBorder="1" applyProtection="1">
      <protection hidden="1"/>
    </xf>
    <xf numFmtId="167" fontId="2" fillId="7" borderId="4" xfId="0" applyNumberFormat="1" applyFont="1" applyFill="1" applyBorder="1" applyProtection="1">
      <protection hidden="1"/>
    </xf>
    <xf numFmtId="168" fontId="2" fillId="7" borderId="4" xfId="0" applyNumberFormat="1" applyFont="1" applyFill="1" applyBorder="1" applyProtection="1">
      <protection hidden="1"/>
    </xf>
    <xf numFmtId="2" fontId="2" fillId="7" borderId="4" xfId="0" applyNumberFormat="1" applyFont="1" applyFill="1" applyBorder="1" applyProtection="1"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14" fontId="2" fillId="0" borderId="0" xfId="0" applyNumberFormat="1" applyFont="1"/>
    <xf numFmtId="14" fontId="3" fillId="4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 hidden="1"/>
    </xf>
    <xf numFmtId="164" fontId="3" fillId="6" borderId="0" xfId="0" applyNumberFormat="1" applyFont="1" applyFill="1" applyAlignment="1" applyProtection="1">
      <alignment horizontal="center" vertical="center" wrapText="1"/>
      <protection locked="0" hidden="1"/>
    </xf>
    <xf numFmtId="0" fontId="3" fillId="6" borderId="13" xfId="0" applyFont="1" applyFill="1" applyBorder="1" applyAlignment="1" applyProtection="1">
      <alignment horizontal="center" vertical="center" wrapText="1"/>
      <protection locked="0" hidden="1"/>
    </xf>
    <xf numFmtId="165" fontId="3" fillId="6" borderId="13" xfId="0" applyNumberFormat="1" applyFont="1" applyFill="1" applyBorder="1" applyAlignment="1" applyProtection="1">
      <alignment horizontal="center" vertical="center" wrapText="1"/>
      <protection locked="0" hidden="1"/>
    </xf>
    <xf numFmtId="2" fontId="2" fillId="0" borderId="4" xfId="0" applyNumberFormat="1" applyFont="1" applyBorder="1" applyProtection="1">
      <protection hidden="1"/>
    </xf>
    <xf numFmtId="0" fontId="2" fillId="5" borderId="14" xfId="0" applyFont="1" applyFill="1" applyBorder="1" applyProtection="1">
      <protection locked="0"/>
    </xf>
    <xf numFmtId="14" fontId="2" fillId="5" borderId="14" xfId="0" applyNumberFormat="1" applyFont="1" applyFill="1" applyBorder="1" applyProtection="1">
      <protection locked="0"/>
    </xf>
    <xf numFmtId="0" fontId="2" fillId="5" borderId="15" xfId="0" applyFont="1" applyFill="1" applyBorder="1" applyAlignment="1" applyProtection="1">
      <alignment horizontal="right"/>
      <protection locked="0"/>
    </xf>
    <xf numFmtId="0" fontId="2" fillId="7" borderId="14" xfId="0" applyFont="1" applyFill="1" applyBorder="1" applyProtection="1">
      <protection hidden="1"/>
    </xf>
    <xf numFmtId="167" fontId="2" fillId="7" borderId="14" xfId="0" applyNumberFormat="1" applyFont="1" applyFill="1" applyBorder="1" applyProtection="1">
      <protection hidden="1"/>
    </xf>
    <xf numFmtId="168" fontId="2" fillId="7" borderId="14" xfId="0" applyNumberFormat="1" applyFont="1" applyFill="1" applyBorder="1" applyProtection="1">
      <protection hidden="1"/>
    </xf>
    <xf numFmtId="2" fontId="2" fillId="7" borderId="14" xfId="0" applyNumberFormat="1" applyFont="1" applyFill="1" applyBorder="1" applyProtection="1">
      <protection hidden="1"/>
    </xf>
    <xf numFmtId="2" fontId="2" fillId="0" borderId="14" xfId="0" applyNumberFormat="1" applyFont="1" applyBorder="1" applyProtection="1">
      <protection hidden="1"/>
    </xf>
    <xf numFmtId="2" fontId="0" fillId="0" borderId="11" xfId="0" applyNumberFormat="1" applyBorder="1" applyProtection="1">
      <protection hidden="1"/>
    </xf>
    <xf numFmtId="0" fontId="2" fillId="7" borderId="4" xfId="0" applyFont="1" applyFill="1" applyBorder="1"/>
    <xf numFmtId="168" fontId="2" fillId="7" borderId="4" xfId="0" applyNumberFormat="1" applyFont="1" applyFill="1" applyBorder="1"/>
    <xf numFmtId="2" fontId="0" fillId="7" borderId="4" xfId="0" applyNumberFormat="1" applyFill="1" applyBorder="1"/>
    <xf numFmtId="2" fontId="2" fillId="7" borderId="4" xfId="0" applyNumberFormat="1" applyFont="1" applyFill="1" applyBorder="1"/>
    <xf numFmtId="168" fontId="0" fillId="0" borderId="0" xfId="0" applyNumberFormat="1"/>
    <xf numFmtId="14" fontId="2" fillId="5" borderId="4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5" borderId="1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167" fontId="5" fillId="0" borderId="0" xfId="0" applyNumberFormat="1" applyFont="1"/>
    <xf numFmtId="0" fontId="9" fillId="0" borderId="0" xfId="0" applyFont="1"/>
    <xf numFmtId="0" fontId="10" fillId="0" borderId="0" xfId="1" applyFont="1"/>
    <xf numFmtId="0" fontId="11" fillId="0" borderId="0" xfId="0" applyFont="1"/>
    <xf numFmtId="14" fontId="0" fillId="0" borderId="0" xfId="0" applyNumberFormat="1" applyProtection="1">
      <protection hidden="1"/>
    </xf>
    <xf numFmtId="0" fontId="8" fillId="0" borderId="0" xfId="1"/>
    <xf numFmtId="14" fontId="13" fillId="5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/>
    <xf numFmtId="0" fontId="9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4" fontId="12" fillId="4" borderId="0" xfId="0" applyNumberFormat="1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164" fontId="12" fillId="6" borderId="0" xfId="0" applyNumberFormat="1" applyFont="1" applyFill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165" fontId="12" fillId="6" borderId="1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5" borderId="12" xfId="0" applyFont="1" applyFill="1" applyBorder="1" applyAlignment="1" applyProtection="1">
      <alignment horizontal="center"/>
      <protection hidden="1"/>
    </xf>
    <xf numFmtId="167" fontId="6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8" formatCode="0.0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8" formatCode="0.0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8" formatCode="0.0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7" formatCode="#,##0.00_ ;[Red]\-#,##0.00\ 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#,##0.00_ ;[Red]\-#,##0.00\ 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8" formatCode="0.0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8" formatCode="0.0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protection locked="1" hidden="0"/>
    </dxf>
  </dxfs>
  <tableStyles count="1" defaultTableStyle="TableStyleMedium2" defaultPivotStyle="PivotStyleLight16">
    <tableStyle name="Invisible" pivot="0" table="0" count="0" xr9:uid="{47C63BA7-C2F7-4BB8-9590-52C47B7663CB}"/>
  </tableStyles>
  <colors>
    <mruColors>
      <color rgb="FF640000"/>
      <color rgb="FFA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111125</xdr:colOff>
      <xdr:row>1</xdr:row>
      <xdr:rowOff>158748</xdr:rowOff>
    </xdr:from>
    <xdr:to>
      <xdr:col>2</xdr:col>
      <xdr:colOff>668193</xdr:colOff>
      <xdr:row>6</xdr:row>
      <xdr:rowOff>36675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0A2D9AD-92C7-A3C2-A504-36EED2E22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349248"/>
          <a:ext cx="1952625" cy="830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7F2517-A233-49D1-AE6C-BB644DE395C0}" name="Tabla3" displayName="Tabla3" ref="B10:Q20" totalsRowShown="0" headerRowDxfId="36" dataDxfId="35" tableBorderDxfId="34">
  <tableColumns count="16">
    <tableColumn id="1" xr3:uid="{43B760C3-A1DB-43C5-8F90-45095A727250}" name="Nombre y Apellidos" dataDxfId="33"/>
    <tableColumn id="2" xr3:uid="{4A95DA56-3B71-402A-A40B-2DC4FC712925}" name="Fecha de nacimiento " dataDxfId="32"/>
    <tableColumn id="3" xr3:uid="{E93879C0-DB97-41C1-8119-CC6051B2309D}" name="COD Postal Provincia" dataDxfId="31"/>
    <tableColumn id="17" xr3:uid="{49A5D15F-EFFD-4968-83B8-4F8A9DBC67DF}" name="Capital Asegurado " dataDxfId="30">
      <calculatedColumnFormula>IF(ISBLANK(D11)," ",_xlfn.XLOOKUP($G11,CP_IMPORTE!$B:$B,CP_IMPORTE!$C:$C))</calculatedColumnFormula>
    </tableColumn>
    <tableColumn id="4" xr3:uid="{A225CDB0-A2F6-40D4-B818-3938674724E6}" name="EDAD " dataDxfId="29">
      <calculatedColumnFormula>IF(ISBLANK(C11)," ",ROUND((TODAY()-C11)/365,0))</calculatedColumnFormula>
    </tableColumn>
    <tableColumn id="5" xr3:uid="{BEA7D551-7C21-46A7-82FD-4657D328813F}" name="Provincia " dataDxfId="28">
      <calculatedColumnFormula>IF(ISBLANK(D11)," ",VLOOKUP($D11,CP_IMPORTE!$A$1:$C$51,2))</calculatedColumnFormula>
    </tableColumn>
    <tableColumn id="7" xr3:uid="{E6CFDAE8-DA49-4724-867F-08277ECBDEA2}" name="TASA POR MIL" dataDxfId="27">
      <calculatedColumnFormula>IF(F11&gt;75," ",IF(ISBLANK(C11)," ",(_xlfn.XLOOKUP($F11,EDAD_TASA!$A:$A,EDAD_TASA!$B:$B))))</calculatedColumnFormula>
    </tableColumn>
    <tableColumn id="8" xr3:uid="{C58D6E6D-43E2-48C9-AC6A-09B13C09FEB5}" name="ENTIERRO" dataDxfId="26">
      <calculatedColumnFormula>IF($F11&gt;75," ",IF(ISBLANK(D11)," ",( E11*H11/1000)))</calculatedColumnFormula>
    </tableColumn>
    <tableColumn id="9" xr3:uid="{45E0C881-96C4-4435-89A8-E3CE3D481732}" name="DUELO" dataDxfId="25">
      <calculatedColumnFormula>IF(F11&gt;75," ",IF(ISBLANK(C11)," ",(_xlfn.XLOOKUP($F11,EDAD_TASA!$A:$A,EDAD_TASA!$C:$C))))</calculatedColumnFormula>
    </tableColumn>
    <tableColumn id="10" xr3:uid="{C2768987-758C-499A-AA62-CE3176CA54A1}" name="TRASLADO" dataDxfId="24">
      <calculatedColumnFormula>IF($F11&gt;75," ",IF(ISBLANK(C11)," ",_xlfn.XLOOKUP($F11,EDAD_TASA!$A:$A,EDAD_TASA!$D:$D)))</calculatedColumnFormula>
    </tableColumn>
    <tableColumn id="11" xr3:uid="{9545CA06-46A4-4917-A815-C2F4418D4C58}" name="ASISTENCIA" dataDxfId="23">
      <calculatedColumnFormula>IF(F11&gt;75," ",IF(ISBLANK(C11)," ",_xlfn.XLOOKUP($F11,EDAD_TASA!$A:$A,EDAD_TASA!$E:$E)))</calculatedColumnFormula>
    </tableColumn>
    <tableColumn id="12" xr3:uid="{98462329-264F-48A8-A45E-5CAB6DF02E9E}" name="S. LEGALES" dataDxfId="22">
      <calculatedColumnFormula>IF(F11&gt;75," ",IF(ISBLANK(C11)," ",_xlfn.XLOOKUP($F11,EDAD_TASA!$A:$A,EDAD_TASA!$F:$F)))</calculatedColumnFormula>
    </tableColumn>
    <tableColumn id="13" xr3:uid="{B5281148-4F0A-474E-B510-911BFBF94002}" name="PRIMA NETA" dataDxfId="21">
      <calculatedColumnFormula>IF(F11&gt;75," ",IF(ISBLANK(D11)," ",IF(ISBLANK(C11)," ",ROUNDUP(SUM(I11:M11),2))))</calculatedColumnFormula>
    </tableColumn>
    <tableColumn id="14" xr3:uid="{22CB4850-1193-4629-A719-650131049FD7}" name="impuesto 8%" dataDxfId="20">
      <calculatedColumnFormula>IF(F11&gt;75," ",IF(ISBLANK(D11)," ",IF(ISBLANK(C11)," ",ROUNDUP(N11*0.08,2))))</calculatedColumnFormula>
    </tableColumn>
    <tableColumn id="15" xr3:uid="{D4B48431-F80E-4792-A61B-49C518808BC7}" name="impuesto 1,5 %" dataDxfId="19">
      <calculatedColumnFormula>IF(F11&gt;75," ",IF(ISBLANK(D11)," ",IF(ISBLANK(C11)," ",ROUNDUP(N11*0.0015,2))))</calculatedColumnFormula>
    </tableColumn>
    <tableColumn id="16" xr3:uid="{995EF43F-5F20-48AA-8A04-7F6BC627AF1B}" name="Prima total Anual" dataDxfId="18">
      <calculatedColumnFormula>IF(ISBLANK(C11)," ",IF($F11&gt;=75,"No contratable ",IF(ISBLANK(D11)," ",IFERROR(SUM(N11:P11),0))))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DCE27C-DEAD-4F71-A443-5FDF4F207B88}" name="Tabla34" displayName="Tabla34" ref="B7:Q16" totalsRowShown="0" dataDxfId="17" tableBorderDxfId="16">
  <tableColumns count="16">
    <tableColumn id="1" xr3:uid="{E5EB1280-A0A9-480D-97B8-D8F24C7C08D2}" name="Nombre y Apellidos" dataDxfId="15"/>
    <tableColumn id="2" xr3:uid="{883EEC3C-219E-47D5-B1F7-FC08275B7730}" name="Fecha de nacimiento " dataDxfId="14"/>
    <tableColumn id="3" xr3:uid="{3757D708-98E1-4530-9002-1199ACB1398B}" name="COD Postal Provincia" dataDxfId="13"/>
    <tableColumn id="4" xr3:uid="{E479E1C4-BCF1-44D2-B0D6-57FCA9D2F156}" name="EDAD " dataDxfId="12">
      <calculatedColumnFormula>ROUNDDOWN((TODAY()-C8)/365,0)</calculatedColumnFormula>
    </tableColumn>
    <tableColumn id="5" xr3:uid="{92E11490-CF80-4569-B363-638F727BB531}" name="Provincia " dataDxfId="11">
      <calculatedColumnFormula>VLOOKUP($D8,CP_IMPORTE!$A$1:$C$51,2)</calculatedColumnFormula>
    </tableColumn>
    <tableColumn id="6" xr3:uid="{57DF7A9F-CFF8-4224-B759-6C17BD859988}" name="IMPORTE SERVICIO" dataDxfId="10">
      <calculatedColumnFormula>_xlfn.XLOOKUP($F8,CP_IMPORTE!$B:$B,CP_IMPORTE!$C:$C)</calculatedColumnFormula>
    </tableColumn>
    <tableColumn id="7" xr3:uid="{ABAB73B0-E339-415A-AB11-48D6F03D43AC}" name="TASA POR MIL" dataDxfId="9">
      <calculatedColumnFormula>_xlfn.XLOOKUP($E8,EDAD_TASA!$A:$A,EDAD_TASA!$B:$B)</calculatedColumnFormula>
    </tableColumn>
    <tableColumn id="8" xr3:uid="{C55932B4-068A-48FC-B35B-422B73A7C9C4}" name="ENTIERRO" dataDxfId="8">
      <calculatedColumnFormula>G8*H8/1000</calculatedColumnFormula>
    </tableColumn>
    <tableColumn id="9" xr3:uid="{3FABFF2A-4E80-4239-B513-85E17471045C}" name="DUELO" dataDxfId="7">
      <calculatedColumnFormula>_xlfn.XLOOKUP($E8,EDAD_TASA!$A:$A,EDAD_TASA!$C:$C)</calculatedColumnFormula>
    </tableColumn>
    <tableColumn id="10" xr3:uid="{55815244-D354-4D37-8D0E-D00DF2A434EB}" name="TRASLADO" dataDxfId="6">
      <calculatedColumnFormula>_xlfn.XLOOKUP($E8,EDAD_TASA!$A:$A,EDAD_TASA!$D:$D)</calculatedColumnFormula>
    </tableColumn>
    <tableColumn id="11" xr3:uid="{E1E7C071-7DA9-472E-94AB-60F0B75B17B4}" name="ASISTENCIA" dataDxfId="5">
      <calculatedColumnFormula>_xlfn.XLOOKUP($E8,EDAD_TASA!$A:$A,EDAD_TASA!$E:$E)</calculatedColumnFormula>
    </tableColumn>
    <tableColumn id="12" xr3:uid="{DFFFE6FA-B2E4-4BF1-A501-516EE66981B0}" name="S. LEGALES" dataDxfId="4">
      <calculatedColumnFormula>_xlfn.XLOOKUP($E8,EDAD_TASA!$A:$A,EDAD_TASA!$F:$F)</calculatedColumnFormula>
    </tableColumn>
    <tableColumn id="13" xr3:uid="{9D544467-E878-442A-89AE-F861D513BEB6}" name="PRIMA NETA" dataDxfId="3">
      <calculatedColumnFormula>SUM(I8:M8)</calculatedColumnFormula>
    </tableColumn>
    <tableColumn id="14" xr3:uid="{0A4D3B8E-9BE9-448B-8207-74DB21A3BA23}" name="impuesto 8%" dataDxfId="2">
      <calculatedColumnFormula>N8*0.08</calculatedColumnFormula>
    </tableColumn>
    <tableColumn id="15" xr3:uid="{A604FB88-36BF-475B-B7E5-21A2ACD5E158}" name="impuesto 1,5 %" dataDxfId="1">
      <calculatedColumnFormula>N8*0.015</calculatedColumnFormula>
    </tableColumn>
    <tableColumn id="16" xr3:uid="{629043C1-EAA3-4423-A1F8-349D82884DE5}" name="prima total" dataDxfId="0">
      <calculatedColumnFormula>IFERROR(SUM(N8:P8),0)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utuadepropietarios.es/" TargetMode="Externa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36ABB-49D8-4BE0-B8D9-3A62F344D41D}">
  <sheetPr codeName="Hoja1"/>
  <dimension ref="A1:C51"/>
  <sheetViews>
    <sheetView topLeftCell="A20" workbookViewId="0">
      <selection activeCell="E18" sqref="E18"/>
    </sheetView>
  </sheetViews>
  <sheetFormatPr baseColWidth="10" defaultRowHeight="14.4" x14ac:dyDescent="0.3"/>
  <cols>
    <col min="1" max="1" width="17" bestFit="1" customWidth="1"/>
    <col min="2" max="2" width="37" bestFit="1" customWidth="1"/>
    <col min="3" max="3" width="20" bestFit="1" customWidth="1"/>
  </cols>
  <sheetData>
    <row r="1" spans="1:3" ht="16.2" thickBot="1" x14ac:dyDescent="0.35">
      <c r="A1" s="20" t="s">
        <v>51</v>
      </c>
      <c r="B1" s="21" t="s">
        <v>0</v>
      </c>
      <c r="C1" s="17" t="s">
        <v>52</v>
      </c>
    </row>
    <row r="2" spans="1:3" ht="15" thickBot="1" x14ac:dyDescent="0.35">
      <c r="A2" s="57" t="s">
        <v>82</v>
      </c>
      <c r="B2" s="14" t="s">
        <v>1</v>
      </c>
      <c r="C2" s="18">
        <v>4100</v>
      </c>
    </row>
    <row r="3" spans="1:3" ht="15" thickBot="1" x14ac:dyDescent="0.35">
      <c r="A3" s="57" t="s">
        <v>83</v>
      </c>
      <c r="B3" s="15" t="s">
        <v>2</v>
      </c>
      <c r="C3" s="18">
        <v>4200</v>
      </c>
    </row>
    <row r="4" spans="1:3" ht="15" thickBot="1" x14ac:dyDescent="0.35">
      <c r="A4" s="57" t="s">
        <v>84</v>
      </c>
      <c r="B4" s="15" t="s">
        <v>3</v>
      </c>
      <c r="C4" s="18">
        <v>4700</v>
      </c>
    </row>
    <row r="5" spans="1:3" ht="15" thickBot="1" x14ac:dyDescent="0.35">
      <c r="A5" s="57" t="s">
        <v>85</v>
      </c>
      <c r="B5" s="15" t="s">
        <v>4</v>
      </c>
      <c r="C5" s="18">
        <v>4000</v>
      </c>
    </row>
    <row r="6" spans="1:3" ht="15" thickBot="1" x14ac:dyDescent="0.35">
      <c r="A6" s="57" t="s">
        <v>86</v>
      </c>
      <c r="B6" s="15" t="s">
        <v>6</v>
      </c>
      <c r="C6" s="18">
        <v>4000</v>
      </c>
    </row>
    <row r="7" spans="1:3" ht="15" thickBot="1" x14ac:dyDescent="0.35">
      <c r="A7" s="57" t="s">
        <v>87</v>
      </c>
      <c r="B7" s="15" t="s">
        <v>7</v>
      </c>
      <c r="C7" s="18">
        <v>4000</v>
      </c>
    </row>
    <row r="8" spans="1:3" ht="15" thickBot="1" x14ac:dyDescent="0.35">
      <c r="A8" s="57" t="s">
        <v>88</v>
      </c>
      <c r="B8" s="15" t="s">
        <v>23</v>
      </c>
      <c r="C8" s="18">
        <v>4000</v>
      </c>
    </row>
    <row r="9" spans="1:3" ht="15" thickBot="1" x14ac:dyDescent="0.35">
      <c r="A9" s="57" t="s">
        <v>89</v>
      </c>
      <c r="B9" s="15" t="s">
        <v>8</v>
      </c>
      <c r="C9" s="18">
        <v>4300</v>
      </c>
    </row>
    <row r="10" spans="1:3" ht="15" thickBot="1" x14ac:dyDescent="0.35">
      <c r="A10" s="57" t="s">
        <v>90</v>
      </c>
      <c r="B10" s="15" t="s">
        <v>9</v>
      </c>
      <c r="C10" s="18">
        <v>4000</v>
      </c>
    </row>
    <row r="11" spans="1:3" ht="15" thickBot="1" x14ac:dyDescent="0.35">
      <c r="A11" s="3">
        <v>10</v>
      </c>
      <c r="B11" s="15" t="s">
        <v>10</v>
      </c>
      <c r="C11" s="18">
        <v>4200</v>
      </c>
    </row>
    <row r="12" spans="1:3" ht="15" thickBot="1" x14ac:dyDescent="0.35">
      <c r="A12" s="3">
        <v>11</v>
      </c>
      <c r="B12" s="15" t="s">
        <v>11</v>
      </c>
      <c r="C12" s="18">
        <v>3900</v>
      </c>
    </row>
    <row r="13" spans="1:3" ht="15" thickBot="1" x14ac:dyDescent="0.35">
      <c r="A13" s="3">
        <v>12</v>
      </c>
      <c r="B13" s="15" t="s">
        <v>13</v>
      </c>
      <c r="C13" s="18">
        <v>4000</v>
      </c>
    </row>
    <row r="14" spans="1:3" ht="15" thickBot="1" x14ac:dyDescent="0.35">
      <c r="A14" s="3">
        <v>13</v>
      </c>
      <c r="B14" s="15" t="s">
        <v>14</v>
      </c>
      <c r="C14" s="18">
        <v>4200</v>
      </c>
    </row>
    <row r="15" spans="1:3" ht="15" thickBot="1" x14ac:dyDescent="0.35">
      <c r="A15" s="3">
        <v>14</v>
      </c>
      <c r="B15" s="15" t="s">
        <v>15</v>
      </c>
      <c r="C15" s="18">
        <v>4100</v>
      </c>
    </row>
    <row r="16" spans="1:3" ht="15" thickBot="1" x14ac:dyDescent="0.35">
      <c r="A16" s="3">
        <v>15</v>
      </c>
      <c r="B16" s="15" t="s">
        <v>25</v>
      </c>
      <c r="C16" s="18">
        <v>4400</v>
      </c>
    </row>
    <row r="17" spans="1:3" ht="15" thickBot="1" x14ac:dyDescent="0.35">
      <c r="A17" s="3">
        <v>16</v>
      </c>
      <c r="B17" s="15" t="s">
        <v>16</v>
      </c>
      <c r="C17" s="18">
        <v>4400</v>
      </c>
    </row>
    <row r="18" spans="1:3" ht="15" thickBot="1" x14ac:dyDescent="0.35">
      <c r="A18" s="3">
        <v>17</v>
      </c>
      <c r="B18" s="15" t="s">
        <v>17</v>
      </c>
      <c r="C18" s="18">
        <v>4700</v>
      </c>
    </row>
    <row r="19" spans="1:3" ht="15" thickBot="1" x14ac:dyDescent="0.35">
      <c r="A19" s="3">
        <v>18</v>
      </c>
      <c r="B19" s="15" t="s">
        <v>18</v>
      </c>
      <c r="C19" s="18">
        <v>4100</v>
      </c>
    </row>
    <row r="20" spans="1:3" ht="15" thickBot="1" x14ac:dyDescent="0.35">
      <c r="A20" s="3">
        <v>19</v>
      </c>
      <c r="B20" s="15" t="s">
        <v>19</v>
      </c>
      <c r="C20" s="18">
        <v>4100</v>
      </c>
    </row>
    <row r="21" spans="1:3" ht="15" thickBot="1" x14ac:dyDescent="0.35">
      <c r="A21" s="3">
        <v>20</v>
      </c>
      <c r="B21" s="15" t="s">
        <v>20</v>
      </c>
      <c r="C21" s="18">
        <v>4300</v>
      </c>
    </row>
    <row r="22" spans="1:3" ht="15" thickBot="1" x14ac:dyDescent="0.35">
      <c r="A22" s="3">
        <v>21</v>
      </c>
      <c r="B22" s="15" t="s">
        <v>21</v>
      </c>
      <c r="C22" s="18">
        <v>4100</v>
      </c>
    </row>
    <row r="23" spans="1:3" ht="15" thickBot="1" x14ac:dyDescent="0.35">
      <c r="A23" s="3">
        <v>22</v>
      </c>
      <c r="B23" s="15" t="s">
        <v>22</v>
      </c>
      <c r="C23" s="18">
        <v>4300</v>
      </c>
    </row>
    <row r="24" spans="1:3" ht="15" thickBot="1" x14ac:dyDescent="0.35">
      <c r="A24" s="3">
        <v>23</v>
      </c>
      <c r="B24" s="15" t="s">
        <v>24</v>
      </c>
      <c r="C24" s="18">
        <v>4000</v>
      </c>
    </row>
    <row r="25" spans="1:3" ht="15" thickBot="1" x14ac:dyDescent="0.35">
      <c r="A25" s="3">
        <v>24</v>
      </c>
      <c r="B25" s="15" t="s">
        <v>28</v>
      </c>
      <c r="C25" s="18">
        <v>4300</v>
      </c>
    </row>
    <row r="26" spans="1:3" ht="15" thickBot="1" x14ac:dyDescent="0.35">
      <c r="A26" s="3">
        <v>25</v>
      </c>
      <c r="B26" s="15" t="s">
        <v>29</v>
      </c>
      <c r="C26" s="18">
        <v>4400</v>
      </c>
    </row>
    <row r="27" spans="1:3" ht="15" thickBot="1" x14ac:dyDescent="0.35">
      <c r="A27" s="3">
        <v>26</v>
      </c>
      <c r="B27" s="15" t="s">
        <v>26</v>
      </c>
      <c r="C27" s="18">
        <v>4200</v>
      </c>
    </row>
    <row r="28" spans="1:3" ht="15" thickBot="1" x14ac:dyDescent="0.35">
      <c r="A28" s="3">
        <v>27</v>
      </c>
      <c r="B28" s="15" t="s">
        <v>30</v>
      </c>
      <c r="C28" s="18">
        <v>4400</v>
      </c>
    </row>
    <row r="29" spans="1:3" ht="15" thickBot="1" x14ac:dyDescent="0.35">
      <c r="A29" s="3">
        <v>28</v>
      </c>
      <c r="B29" s="15" t="s">
        <v>31</v>
      </c>
      <c r="C29" s="18">
        <v>4300</v>
      </c>
    </row>
    <row r="30" spans="1:3" ht="15" thickBot="1" x14ac:dyDescent="0.35">
      <c r="A30" s="3">
        <v>29</v>
      </c>
      <c r="B30" s="15" t="s">
        <v>32</v>
      </c>
      <c r="C30" s="18">
        <v>4000</v>
      </c>
    </row>
    <row r="31" spans="1:3" ht="15" thickBot="1" x14ac:dyDescent="0.35">
      <c r="A31" s="3">
        <v>30</v>
      </c>
      <c r="B31" s="15" t="s">
        <v>33</v>
      </c>
      <c r="C31" s="18">
        <v>4200</v>
      </c>
    </row>
    <row r="32" spans="1:3" ht="15" thickBot="1" x14ac:dyDescent="0.35">
      <c r="A32" s="3">
        <v>31</v>
      </c>
      <c r="B32" s="15" t="s">
        <v>34</v>
      </c>
      <c r="C32" s="18">
        <v>4400</v>
      </c>
    </row>
    <row r="33" spans="1:3" ht="15" thickBot="1" x14ac:dyDescent="0.35">
      <c r="A33" s="3">
        <v>32</v>
      </c>
      <c r="B33" s="15" t="s">
        <v>35</v>
      </c>
      <c r="C33" s="18">
        <v>4400</v>
      </c>
    </row>
    <row r="34" spans="1:3" ht="15" thickBot="1" x14ac:dyDescent="0.35">
      <c r="A34" s="3">
        <v>33</v>
      </c>
      <c r="B34" s="15" t="s">
        <v>5</v>
      </c>
      <c r="C34" s="18">
        <v>4500</v>
      </c>
    </row>
    <row r="35" spans="1:3" ht="15" thickBot="1" x14ac:dyDescent="0.35">
      <c r="A35" s="3">
        <v>34</v>
      </c>
      <c r="B35" s="15" t="s">
        <v>36</v>
      </c>
      <c r="C35" s="18">
        <v>4300</v>
      </c>
    </row>
    <row r="36" spans="1:3" ht="15" thickBot="1" x14ac:dyDescent="0.35">
      <c r="A36" s="3">
        <v>35</v>
      </c>
      <c r="B36" s="15" t="s">
        <v>27</v>
      </c>
      <c r="C36" s="18">
        <v>3800</v>
      </c>
    </row>
    <row r="37" spans="1:3" ht="15" thickBot="1" x14ac:dyDescent="0.35">
      <c r="A37" s="3">
        <v>36</v>
      </c>
      <c r="B37" s="15" t="s">
        <v>37</v>
      </c>
      <c r="C37" s="18">
        <v>4400</v>
      </c>
    </row>
    <row r="38" spans="1:3" ht="15" thickBot="1" x14ac:dyDescent="0.35">
      <c r="A38" s="3">
        <v>37</v>
      </c>
      <c r="B38" s="15" t="s">
        <v>38</v>
      </c>
      <c r="C38" s="18">
        <v>4200</v>
      </c>
    </row>
    <row r="39" spans="1:3" ht="15" thickBot="1" x14ac:dyDescent="0.35">
      <c r="A39" s="3">
        <v>38</v>
      </c>
      <c r="B39" s="15" t="s">
        <v>39</v>
      </c>
      <c r="C39" s="18">
        <v>3900</v>
      </c>
    </row>
    <row r="40" spans="1:3" ht="15" thickBot="1" x14ac:dyDescent="0.35">
      <c r="A40" s="3">
        <v>39</v>
      </c>
      <c r="B40" s="15" t="s">
        <v>12</v>
      </c>
      <c r="C40" s="18">
        <v>4300</v>
      </c>
    </row>
    <row r="41" spans="1:3" ht="15" thickBot="1" x14ac:dyDescent="0.35">
      <c r="A41" s="3">
        <v>40</v>
      </c>
      <c r="B41" s="15" t="s">
        <v>40</v>
      </c>
      <c r="C41" s="18">
        <v>4800</v>
      </c>
    </row>
    <row r="42" spans="1:3" ht="15" thickBot="1" x14ac:dyDescent="0.35">
      <c r="A42" s="3">
        <v>41</v>
      </c>
      <c r="B42" s="15" t="s">
        <v>41</v>
      </c>
      <c r="C42" s="18">
        <v>4200</v>
      </c>
    </row>
    <row r="43" spans="1:3" ht="15" thickBot="1" x14ac:dyDescent="0.35">
      <c r="A43" s="3">
        <v>42</v>
      </c>
      <c r="B43" s="15" t="s">
        <v>42</v>
      </c>
      <c r="C43" s="18">
        <v>4300</v>
      </c>
    </row>
    <row r="44" spans="1:3" ht="15" thickBot="1" x14ac:dyDescent="0.35">
      <c r="A44" s="3">
        <v>43</v>
      </c>
      <c r="B44" s="15" t="s">
        <v>43</v>
      </c>
      <c r="C44" s="18">
        <v>4300</v>
      </c>
    </row>
    <row r="45" spans="1:3" ht="15" thickBot="1" x14ac:dyDescent="0.35">
      <c r="A45" s="3">
        <v>44</v>
      </c>
      <c r="B45" s="15" t="s">
        <v>44</v>
      </c>
      <c r="C45" s="18">
        <v>4000</v>
      </c>
    </row>
    <row r="46" spans="1:3" ht="15" thickBot="1" x14ac:dyDescent="0.35">
      <c r="A46" s="3">
        <v>45</v>
      </c>
      <c r="B46" s="15" t="s">
        <v>45</v>
      </c>
      <c r="C46" s="18">
        <v>4400</v>
      </c>
    </row>
    <row r="47" spans="1:3" ht="15" thickBot="1" x14ac:dyDescent="0.35">
      <c r="A47" s="3">
        <v>46</v>
      </c>
      <c r="B47" s="15" t="s">
        <v>46</v>
      </c>
      <c r="C47" s="18">
        <v>4300</v>
      </c>
    </row>
    <row r="48" spans="1:3" ht="15" thickBot="1" x14ac:dyDescent="0.35">
      <c r="A48" s="3">
        <v>47</v>
      </c>
      <c r="B48" s="15" t="s">
        <v>47</v>
      </c>
      <c r="C48" s="18">
        <v>4300</v>
      </c>
    </row>
    <row r="49" spans="1:3" ht="15" thickBot="1" x14ac:dyDescent="0.35">
      <c r="A49" s="3">
        <v>48</v>
      </c>
      <c r="B49" s="16" t="s">
        <v>48</v>
      </c>
      <c r="C49" s="19">
        <v>4400</v>
      </c>
    </row>
    <row r="50" spans="1:3" ht="15" thickBot="1" x14ac:dyDescent="0.35">
      <c r="A50" s="3">
        <v>49</v>
      </c>
      <c r="B50" s="16" t="s">
        <v>49</v>
      </c>
      <c r="C50" s="19">
        <v>4300</v>
      </c>
    </row>
    <row r="51" spans="1:3" x14ac:dyDescent="0.3">
      <c r="A51" s="3">
        <v>50</v>
      </c>
      <c r="B51" s="15" t="s">
        <v>50</v>
      </c>
      <c r="C51" s="22">
        <v>4200</v>
      </c>
    </row>
  </sheetData>
  <autoFilter ref="A1:C51" xr:uid="{18A36ABB-49D8-4BE0-B8D9-3A62F344D41D}">
    <sortState xmlns:xlrd2="http://schemas.microsoft.com/office/spreadsheetml/2017/richdata2" ref="A2:C51">
      <sortCondition ref="A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7EF2-87F5-4E71-943A-AFF74171A4EF}">
  <sheetPr codeName="Hoja2"/>
  <dimension ref="A1:P76"/>
  <sheetViews>
    <sheetView topLeftCell="A63" workbookViewId="0">
      <selection activeCell="H3" sqref="H3"/>
    </sheetView>
  </sheetViews>
  <sheetFormatPr baseColWidth="10" defaultRowHeight="14.4" x14ac:dyDescent="0.3"/>
  <cols>
    <col min="1" max="1" width="14.109375" customWidth="1"/>
    <col min="2" max="2" width="15.6640625" style="1" customWidth="1"/>
    <col min="3" max="3" width="13.88671875" style="9" customWidth="1"/>
    <col min="5" max="5" width="12.6640625" customWidth="1"/>
    <col min="6" max="6" width="13.33203125" customWidth="1"/>
    <col min="7" max="7" width="34.88671875" bestFit="1" customWidth="1"/>
    <col min="8" max="8" width="36.5546875" customWidth="1"/>
    <col min="9" max="9" width="15.44140625" hidden="1" customWidth="1"/>
    <col min="15" max="15" width="12.88671875" customWidth="1"/>
  </cols>
  <sheetData>
    <row r="1" spans="1:9" ht="15.6" x14ac:dyDescent="0.3">
      <c r="A1" s="6" t="s">
        <v>53</v>
      </c>
      <c r="B1" s="2" t="s">
        <v>59</v>
      </c>
      <c r="C1" s="10" t="s">
        <v>54</v>
      </c>
      <c r="D1" s="5" t="s">
        <v>55</v>
      </c>
      <c r="E1" s="5" t="s">
        <v>56</v>
      </c>
      <c r="F1" s="5" t="s">
        <v>57</v>
      </c>
      <c r="G1" s="5" t="s">
        <v>62</v>
      </c>
      <c r="H1" s="5" t="s">
        <v>58</v>
      </c>
    </row>
    <row r="2" spans="1:9" x14ac:dyDescent="0.3">
      <c r="A2" s="3">
        <v>0</v>
      </c>
      <c r="B2" s="4">
        <v>0.88072799999999996</v>
      </c>
      <c r="C2" s="7">
        <f>B2*165/1000</f>
        <v>0.14532012</v>
      </c>
      <c r="D2" s="7">
        <v>1.27</v>
      </c>
      <c r="E2" s="7">
        <v>0.56000000000000005</v>
      </c>
      <c r="F2" s="7">
        <v>7.4</v>
      </c>
      <c r="G2" s="7"/>
      <c r="H2" s="7"/>
    </row>
    <row r="3" spans="1:9" x14ac:dyDescent="0.3">
      <c r="A3" s="3">
        <v>1</v>
      </c>
      <c r="B3" s="4">
        <v>0.88072799999999996</v>
      </c>
      <c r="C3" s="7">
        <f>B3*165/1000</f>
        <v>0.14532012</v>
      </c>
      <c r="D3" s="7">
        <v>1.27</v>
      </c>
      <c r="E3" s="7">
        <v>0.56000000000000005</v>
      </c>
      <c r="F3" s="7">
        <v>7.4</v>
      </c>
      <c r="G3" s="7"/>
      <c r="H3" s="7" t="s">
        <v>60</v>
      </c>
      <c r="I3" s="8"/>
    </row>
    <row r="4" spans="1:9" x14ac:dyDescent="0.3">
      <c r="A4" s="3">
        <v>2</v>
      </c>
      <c r="B4" s="4">
        <v>0.88072799999999996</v>
      </c>
      <c r="C4" s="7">
        <f>B4*165/1000</f>
        <v>0.14532012</v>
      </c>
      <c r="D4" s="7">
        <v>1.27</v>
      </c>
      <c r="E4" s="7">
        <v>0.56000000000000005</v>
      </c>
      <c r="F4" s="7">
        <v>7.4</v>
      </c>
      <c r="G4" s="7"/>
      <c r="H4" s="7"/>
    </row>
    <row r="5" spans="1:9" x14ac:dyDescent="0.3">
      <c r="A5" s="3">
        <v>3</v>
      </c>
      <c r="B5" s="4">
        <v>0.88072799999999996</v>
      </c>
      <c r="C5" s="7">
        <f t="shared" ref="C5:C20" si="0">B5*165/1000</f>
        <v>0.14532012</v>
      </c>
      <c r="D5" s="7">
        <v>1.27</v>
      </c>
      <c r="E5" s="7">
        <v>0.56000000000000005</v>
      </c>
      <c r="F5" s="7">
        <v>7.4</v>
      </c>
      <c r="G5" s="7"/>
      <c r="H5" s="7"/>
    </row>
    <row r="6" spans="1:9" x14ac:dyDescent="0.3">
      <c r="A6" s="3">
        <v>4</v>
      </c>
      <c r="B6" s="4">
        <v>0.88072799999999996</v>
      </c>
      <c r="C6" s="7">
        <f t="shared" si="0"/>
        <v>0.14532012</v>
      </c>
      <c r="D6" s="7">
        <v>1.27</v>
      </c>
      <c r="E6" s="7">
        <v>0.56000000000000005</v>
      </c>
      <c r="F6" s="7">
        <v>7.4</v>
      </c>
      <c r="G6" s="7"/>
      <c r="H6" s="7"/>
    </row>
    <row r="7" spans="1:9" x14ac:dyDescent="0.3">
      <c r="A7" s="3">
        <v>5</v>
      </c>
      <c r="B7" s="4">
        <v>0.88072799999999996</v>
      </c>
      <c r="C7" s="7">
        <f t="shared" si="0"/>
        <v>0.14532012</v>
      </c>
      <c r="D7" s="7">
        <v>1.27</v>
      </c>
      <c r="E7" s="7">
        <v>0.56000000000000005</v>
      </c>
      <c r="F7" s="7">
        <v>7.4</v>
      </c>
      <c r="G7" s="7"/>
      <c r="H7" s="7"/>
    </row>
    <row r="8" spans="1:9" x14ac:dyDescent="0.3">
      <c r="A8" s="3">
        <v>6</v>
      </c>
      <c r="B8" s="4">
        <v>0.88072799999999996</v>
      </c>
      <c r="C8" s="7">
        <f t="shared" si="0"/>
        <v>0.14532012</v>
      </c>
      <c r="D8" s="7">
        <v>1.27</v>
      </c>
      <c r="E8" s="7">
        <v>0.56000000000000005</v>
      </c>
      <c r="F8" s="7">
        <v>7.4</v>
      </c>
      <c r="G8" s="7"/>
      <c r="H8" s="7"/>
    </row>
    <row r="9" spans="1:9" x14ac:dyDescent="0.3">
      <c r="A9" s="3">
        <v>7</v>
      </c>
      <c r="B9" s="4">
        <v>0.88072799999999996</v>
      </c>
      <c r="C9" s="7">
        <f t="shared" si="0"/>
        <v>0.14532012</v>
      </c>
      <c r="D9" s="7">
        <v>1.27</v>
      </c>
      <c r="E9" s="7">
        <v>0.56000000000000005</v>
      </c>
      <c r="F9" s="7">
        <v>7.4</v>
      </c>
      <c r="G9" s="7"/>
      <c r="H9" s="7"/>
    </row>
    <row r="10" spans="1:9" x14ac:dyDescent="0.3">
      <c r="A10" s="3">
        <v>8</v>
      </c>
      <c r="B10" s="4">
        <v>0.88072799999999996</v>
      </c>
      <c r="C10" s="7">
        <f t="shared" si="0"/>
        <v>0.14532012</v>
      </c>
      <c r="D10" s="7">
        <v>1.27</v>
      </c>
      <c r="E10" s="7">
        <v>0.56000000000000005</v>
      </c>
      <c r="F10" s="7">
        <v>7.4</v>
      </c>
      <c r="G10" s="7"/>
      <c r="H10" s="7"/>
    </row>
    <row r="11" spans="1:9" x14ac:dyDescent="0.3">
      <c r="A11" s="3">
        <v>9</v>
      </c>
      <c r="B11" s="4">
        <v>0.88072799999999996</v>
      </c>
      <c r="C11" s="7">
        <f t="shared" si="0"/>
        <v>0.14532012</v>
      </c>
      <c r="D11" s="7">
        <v>1.27</v>
      </c>
      <c r="E11" s="7">
        <v>0.56000000000000005</v>
      </c>
      <c r="F11" s="7">
        <v>7.4</v>
      </c>
      <c r="G11" s="7"/>
      <c r="H11" s="7"/>
    </row>
    <row r="12" spans="1:9" x14ac:dyDescent="0.3">
      <c r="A12" s="3">
        <v>10</v>
      </c>
      <c r="B12" s="4">
        <v>0.88072799999999996</v>
      </c>
      <c r="C12" s="7">
        <f t="shared" si="0"/>
        <v>0.14532012</v>
      </c>
      <c r="D12" s="7">
        <v>1.27</v>
      </c>
      <c r="E12" s="7">
        <v>0.56000000000000005</v>
      </c>
      <c r="F12" s="7">
        <v>7.4</v>
      </c>
      <c r="G12" s="7"/>
      <c r="H12" s="7"/>
    </row>
    <row r="13" spans="1:9" x14ac:dyDescent="0.3">
      <c r="A13" s="3">
        <v>11</v>
      </c>
      <c r="B13" s="4">
        <v>0.88072799999999996</v>
      </c>
      <c r="C13" s="7">
        <f t="shared" si="0"/>
        <v>0.14532012</v>
      </c>
      <c r="D13" s="7">
        <v>1.27</v>
      </c>
      <c r="E13" s="7">
        <v>0.56000000000000005</v>
      </c>
      <c r="F13" s="7">
        <v>7.4</v>
      </c>
      <c r="G13" s="7"/>
      <c r="H13" s="7"/>
    </row>
    <row r="14" spans="1:9" x14ac:dyDescent="0.3">
      <c r="A14" s="3">
        <v>12</v>
      </c>
      <c r="B14" s="4">
        <v>0.88072799999999996</v>
      </c>
      <c r="C14" s="7">
        <f t="shared" si="0"/>
        <v>0.14532012</v>
      </c>
      <c r="D14" s="7">
        <v>1.27</v>
      </c>
      <c r="E14" s="7">
        <v>0.56000000000000005</v>
      </c>
      <c r="F14" s="7">
        <v>7.4</v>
      </c>
      <c r="G14" s="7"/>
      <c r="H14" s="7"/>
    </row>
    <row r="15" spans="1:9" x14ac:dyDescent="0.3">
      <c r="A15" s="3">
        <v>13</v>
      </c>
      <c r="B15" s="4">
        <v>0.88072799999999996</v>
      </c>
      <c r="C15" s="7">
        <f t="shared" si="0"/>
        <v>0.14532012</v>
      </c>
      <c r="D15" s="7">
        <v>1.27</v>
      </c>
      <c r="E15" s="7">
        <v>0.56000000000000005</v>
      </c>
      <c r="F15" s="7">
        <v>7.4</v>
      </c>
      <c r="G15" s="7"/>
      <c r="H15" s="7"/>
    </row>
    <row r="16" spans="1:9" x14ac:dyDescent="0.3">
      <c r="A16" s="3">
        <v>14</v>
      </c>
      <c r="B16" s="4">
        <v>0.88072799999999996</v>
      </c>
      <c r="C16" s="7">
        <f t="shared" si="0"/>
        <v>0.14532012</v>
      </c>
      <c r="D16" s="7">
        <v>1.27</v>
      </c>
      <c r="E16" s="7">
        <v>0.56000000000000005</v>
      </c>
      <c r="F16" s="7">
        <v>7.4</v>
      </c>
      <c r="G16" s="7"/>
      <c r="H16" s="7"/>
    </row>
    <row r="17" spans="1:16" x14ac:dyDescent="0.3">
      <c r="A17" s="3">
        <v>15</v>
      </c>
      <c r="B17" s="4">
        <v>0.88072799999999996</v>
      </c>
      <c r="C17" s="7">
        <f t="shared" si="0"/>
        <v>0.14532012</v>
      </c>
      <c r="D17" s="7">
        <v>1.27</v>
      </c>
      <c r="E17" s="7">
        <v>0.56000000000000005</v>
      </c>
      <c r="F17" s="7">
        <v>7.4</v>
      </c>
      <c r="G17" s="7"/>
      <c r="H17" s="7"/>
    </row>
    <row r="18" spans="1:16" x14ac:dyDescent="0.3">
      <c r="A18" s="3">
        <v>16</v>
      </c>
      <c r="B18" s="4">
        <v>0.88072799999999996</v>
      </c>
      <c r="C18" s="7">
        <f t="shared" si="0"/>
        <v>0.14532012</v>
      </c>
      <c r="D18" s="7">
        <v>1.27</v>
      </c>
      <c r="E18" s="7">
        <v>0.56000000000000005</v>
      </c>
      <c r="F18" s="7">
        <v>7.4</v>
      </c>
      <c r="G18" s="7"/>
      <c r="H18" s="7"/>
    </row>
    <row r="19" spans="1:16" x14ac:dyDescent="0.3">
      <c r="A19" s="3">
        <v>17</v>
      </c>
      <c r="B19" s="4">
        <v>0.88072799999999996</v>
      </c>
      <c r="C19" s="7">
        <f t="shared" si="0"/>
        <v>0.14532012</v>
      </c>
      <c r="D19" s="7">
        <v>1.27</v>
      </c>
      <c r="E19" s="7">
        <v>0.56000000000000005</v>
      </c>
      <c r="F19" s="7">
        <v>7.4</v>
      </c>
      <c r="G19" s="7"/>
      <c r="H19" s="7"/>
    </row>
    <row r="20" spans="1:16" x14ac:dyDescent="0.3">
      <c r="A20" s="3">
        <v>18</v>
      </c>
      <c r="B20" s="4">
        <v>0.88072799999999996</v>
      </c>
      <c r="C20" s="7">
        <f t="shared" si="0"/>
        <v>0.14532012</v>
      </c>
      <c r="D20" s="7">
        <v>1.27</v>
      </c>
      <c r="E20" s="7">
        <v>0.56000000000000005</v>
      </c>
      <c r="F20" s="7">
        <v>7.4</v>
      </c>
      <c r="G20" s="7"/>
      <c r="H20" s="7"/>
    </row>
    <row r="21" spans="1:16" x14ac:dyDescent="0.3">
      <c r="A21" s="3">
        <v>19</v>
      </c>
      <c r="B21" s="4">
        <v>0.88854999999999995</v>
      </c>
      <c r="C21" s="7">
        <f t="shared" ref="C21:C52" si="1">B21*165/1000</f>
        <v>0.14661074999999998</v>
      </c>
      <c r="D21" s="7">
        <v>1.27</v>
      </c>
      <c r="E21" s="7">
        <v>0.56000000000000005</v>
      </c>
      <c r="F21" s="7">
        <v>7.4</v>
      </c>
      <c r="G21" s="7"/>
      <c r="H21" s="7"/>
      <c r="J21" t="s">
        <v>61</v>
      </c>
      <c r="K21" t="s">
        <v>62</v>
      </c>
      <c r="N21" t="s">
        <v>64</v>
      </c>
      <c r="O21" t="s">
        <v>65</v>
      </c>
      <c r="P21" t="s">
        <v>63</v>
      </c>
    </row>
    <row r="22" spans="1:16" x14ac:dyDescent="0.3">
      <c r="A22" s="11">
        <v>20</v>
      </c>
      <c r="B22" s="12">
        <v>0.90741799999999995</v>
      </c>
      <c r="C22" s="13">
        <f t="shared" si="1"/>
        <v>0.14972396999999998</v>
      </c>
      <c r="D22" s="13">
        <v>1.27</v>
      </c>
      <c r="E22" s="13">
        <v>0.56000000000000005</v>
      </c>
      <c r="F22" s="13">
        <v>7.4</v>
      </c>
      <c r="G22" s="13"/>
      <c r="H22" s="7"/>
      <c r="J22" s="9">
        <f>B22*4500/1000</f>
        <v>4.0833810000000001</v>
      </c>
      <c r="K22" s="9">
        <f>J22+C22+D22+E22+F22</f>
        <v>13.463104970000002</v>
      </c>
      <c r="N22" s="9">
        <f>K22*8/100</f>
        <v>1.0770483976</v>
      </c>
      <c r="O22" s="9">
        <f>K22*1.5/1000</f>
        <v>2.0194657455000001E-2</v>
      </c>
      <c r="P22" s="9">
        <f>K22+N22+O22</f>
        <v>14.560348025055003</v>
      </c>
    </row>
    <row r="23" spans="1:16" x14ac:dyDescent="0.3">
      <c r="A23" s="3">
        <v>21</v>
      </c>
      <c r="B23" s="4">
        <v>0.92859000000000003</v>
      </c>
      <c r="C23" s="7">
        <f t="shared" si="1"/>
        <v>0.15321735</v>
      </c>
      <c r="D23" s="7">
        <v>1.27</v>
      </c>
      <c r="E23" s="7">
        <v>0.56000000000000005</v>
      </c>
      <c r="F23" s="7">
        <v>7.4</v>
      </c>
      <c r="G23" s="7"/>
      <c r="H23" s="7"/>
    </row>
    <row r="24" spans="1:16" x14ac:dyDescent="0.3">
      <c r="A24" s="3">
        <v>22</v>
      </c>
      <c r="B24" s="4">
        <v>0.95415000000000005</v>
      </c>
      <c r="C24" s="7">
        <f t="shared" si="1"/>
        <v>0.15743475000000001</v>
      </c>
      <c r="D24" s="7">
        <v>1.27</v>
      </c>
      <c r="E24" s="7">
        <v>0.56000000000000005</v>
      </c>
      <c r="F24" s="7">
        <v>7.4</v>
      </c>
      <c r="G24" s="7"/>
      <c r="H24" s="7"/>
    </row>
    <row r="25" spans="1:16" x14ac:dyDescent="0.3">
      <c r="A25" s="3">
        <v>23</v>
      </c>
      <c r="B25" s="4">
        <v>0.97770299999999999</v>
      </c>
      <c r="C25" s="7">
        <f t="shared" si="1"/>
        <v>0.16132099500000002</v>
      </c>
      <c r="D25" s="7">
        <v>1.27</v>
      </c>
      <c r="E25" s="7">
        <v>0.56000000000000005</v>
      </c>
      <c r="F25" s="7">
        <v>7.4</v>
      </c>
      <c r="G25" s="7"/>
      <c r="H25" s="7"/>
    </row>
    <row r="26" spans="1:16" x14ac:dyDescent="0.3">
      <c r="A26" s="3">
        <v>24</v>
      </c>
      <c r="B26" s="4">
        <v>0.999193</v>
      </c>
      <c r="C26" s="7">
        <f t="shared" si="1"/>
        <v>0.16486684500000001</v>
      </c>
      <c r="D26" s="7">
        <v>1.27</v>
      </c>
      <c r="E26" s="7">
        <v>0.56000000000000005</v>
      </c>
      <c r="F26" s="7">
        <v>7.4</v>
      </c>
      <c r="G26" s="7"/>
      <c r="H26" s="7"/>
    </row>
    <row r="27" spans="1:16" x14ac:dyDescent="0.3">
      <c r="A27" s="3">
        <v>25</v>
      </c>
      <c r="B27" s="4">
        <v>1.0152099999999999</v>
      </c>
      <c r="C27" s="7">
        <f t="shared" si="1"/>
        <v>0.16750964999999998</v>
      </c>
      <c r="D27" s="7">
        <v>1.27</v>
      </c>
      <c r="E27" s="7">
        <v>0.56000000000000005</v>
      </c>
      <c r="F27" s="7">
        <v>7.4</v>
      </c>
      <c r="G27" s="7"/>
      <c r="H27" s="7"/>
    </row>
    <row r="28" spans="1:16" x14ac:dyDescent="0.3">
      <c r="A28" s="3">
        <v>26</v>
      </c>
      <c r="B28" s="4">
        <v>1.019703</v>
      </c>
      <c r="C28" s="7">
        <f t="shared" si="1"/>
        <v>0.16825099500000001</v>
      </c>
      <c r="D28" s="7">
        <v>1.27</v>
      </c>
      <c r="E28" s="7">
        <v>0.56000000000000005</v>
      </c>
      <c r="F28" s="7">
        <v>7.4</v>
      </c>
      <c r="G28" s="7"/>
      <c r="H28" s="7"/>
    </row>
    <row r="29" spans="1:16" x14ac:dyDescent="0.3">
      <c r="A29" s="3">
        <v>27</v>
      </c>
      <c r="B29" s="4">
        <v>1.013558</v>
      </c>
      <c r="C29" s="7">
        <f t="shared" si="1"/>
        <v>0.16723706999999999</v>
      </c>
      <c r="D29" s="7">
        <v>1.27</v>
      </c>
      <c r="E29" s="7">
        <v>0.56000000000000005</v>
      </c>
      <c r="F29" s="7">
        <v>7.4</v>
      </c>
      <c r="G29" s="7"/>
      <c r="H29" s="7"/>
    </row>
    <row r="30" spans="1:16" x14ac:dyDescent="0.3">
      <c r="A30" s="3">
        <v>28</v>
      </c>
      <c r="B30" s="4">
        <v>0.99777000000000005</v>
      </c>
      <c r="C30" s="7">
        <f t="shared" si="1"/>
        <v>0.16463205000000003</v>
      </c>
      <c r="D30" s="7">
        <v>1.27</v>
      </c>
      <c r="E30" s="7">
        <v>0.56000000000000005</v>
      </c>
      <c r="F30" s="7">
        <v>7.4</v>
      </c>
      <c r="G30" s="7"/>
      <c r="H30" s="7"/>
    </row>
    <row r="31" spans="1:16" x14ac:dyDescent="0.3">
      <c r="A31" s="3">
        <v>29</v>
      </c>
      <c r="B31" s="4">
        <v>0.97470299999999999</v>
      </c>
      <c r="C31" s="7">
        <f t="shared" si="1"/>
        <v>0.160825995</v>
      </c>
      <c r="D31" s="7">
        <v>1.27</v>
      </c>
      <c r="E31" s="7">
        <v>0.56000000000000005</v>
      </c>
      <c r="F31" s="7">
        <v>7.4</v>
      </c>
      <c r="G31" s="7"/>
      <c r="H31" s="7"/>
    </row>
    <row r="32" spans="1:16" x14ac:dyDescent="0.3">
      <c r="A32" s="3">
        <v>30</v>
      </c>
      <c r="B32" s="4">
        <v>0.95660800000000001</v>
      </c>
      <c r="C32" s="7">
        <f t="shared" si="1"/>
        <v>0.15784031999999998</v>
      </c>
      <c r="D32" s="7">
        <v>1.27</v>
      </c>
      <c r="E32" s="7">
        <v>0.56000000000000005</v>
      </c>
      <c r="F32" s="7">
        <v>7.4</v>
      </c>
      <c r="G32" s="7"/>
      <c r="H32" s="7"/>
    </row>
    <row r="33" spans="1:8" x14ac:dyDescent="0.3">
      <c r="A33" s="3">
        <v>31</v>
      </c>
      <c r="B33" s="4">
        <v>0.94583499999999998</v>
      </c>
      <c r="C33" s="7">
        <f t="shared" si="1"/>
        <v>0.15606277499999999</v>
      </c>
      <c r="D33" s="7">
        <v>1.27</v>
      </c>
      <c r="E33" s="7">
        <v>0.56000000000000005</v>
      </c>
      <c r="F33" s="7">
        <v>7.4</v>
      </c>
      <c r="G33" s="7"/>
      <c r="H33" s="7"/>
    </row>
    <row r="34" spans="1:8" x14ac:dyDescent="0.3">
      <c r="A34" s="3">
        <v>32</v>
      </c>
      <c r="B34" s="4">
        <v>0.94999299999999998</v>
      </c>
      <c r="C34" s="7">
        <f t="shared" si="1"/>
        <v>0.156748845</v>
      </c>
      <c r="D34" s="7">
        <v>1.27</v>
      </c>
      <c r="E34" s="7">
        <v>0.56000000000000005</v>
      </c>
      <c r="F34" s="7">
        <v>7.4</v>
      </c>
      <c r="G34" s="7"/>
      <c r="H34" s="7"/>
    </row>
    <row r="35" spans="1:8" x14ac:dyDescent="0.3">
      <c r="A35" s="3">
        <v>33</v>
      </c>
      <c r="B35" s="4">
        <v>0.97817799999999999</v>
      </c>
      <c r="C35" s="7">
        <f t="shared" si="1"/>
        <v>0.16139937000000001</v>
      </c>
      <c r="D35" s="7">
        <v>1.27</v>
      </c>
      <c r="E35" s="7">
        <v>0.56000000000000005</v>
      </c>
      <c r="F35" s="7">
        <v>7.4</v>
      </c>
      <c r="G35" s="7"/>
      <c r="H35" s="7"/>
    </row>
    <row r="36" spans="1:8" x14ac:dyDescent="0.3">
      <c r="A36" s="3">
        <v>34</v>
      </c>
      <c r="B36" s="4">
        <v>1.03837</v>
      </c>
      <c r="C36" s="7">
        <f t="shared" si="1"/>
        <v>0.17133105000000001</v>
      </c>
      <c r="D36" s="7">
        <v>1.27</v>
      </c>
      <c r="E36" s="7">
        <v>0.56000000000000005</v>
      </c>
      <c r="F36" s="7">
        <v>7.4</v>
      </c>
      <c r="G36" s="7"/>
      <c r="H36" s="7"/>
    </row>
    <row r="37" spans="1:8" x14ac:dyDescent="0.3">
      <c r="A37" s="3">
        <v>35</v>
      </c>
      <c r="B37" s="4">
        <v>1.132388</v>
      </c>
      <c r="C37" s="7">
        <f t="shared" si="1"/>
        <v>0.18684402</v>
      </c>
      <c r="D37" s="7">
        <v>1.27</v>
      </c>
      <c r="E37" s="7">
        <v>0.56000000000000005</v>
      </c>
      <c r="F37" s="7">
        <v>7.4</v>
      </c>
      <c r="G37" s="7"/>
      <c r="H37" s="7"/>
    </row>
    <row r="38" spans="1:8" x14ac:dyDescent="0.3">
      <c r="A38" s="3">
        <v>36</v>
      </c>
      <c r="B38" s="4">
        <v>1.24803</v>
      </c>
      <c r="C38" s="7">
        <f t="shared" si="1"/>
        <v>0.20592495</v>
      </c>
      <c r="D38" s="7">
        <v>1.27</v>
      </c>
      <c r="E38" s="7">
        <v>0.56000000000000005</v>
      </c>
      <c r="F38" s="7">
        <v>7.4</v>
      </c>
      <c r="G38" s="7"/>
      <c r="H38" s="7"/>
    </row>
    <row r="39" spans="1:8" x14ac:dyDescent="0.3">
      <c r="A39" s="3">
        <v>37</v>
      </c>
      <c r="B39" s="4">
        <v>1.3778729999999999</v>
      </c>
      <c r="C39" s="7">
        <f t="shared" si="1"/>
        <v>0.227349045</v>
      </c>
      <c r="D39" s="7">
        <v>1.27</v>
      </c>
      <c r="E39" s="7">
        <v>0.56000000000000005</v>
      </c>
      <c r="F39" s="7">
        <v>7.4</v>
      </c>
      <c r="G39" s="7"/>
      <c r="H39" s="7"/>
    </row>
    <row r="40" spans="1:8" x14ac:dyDescent="0.3">
      <c r="A40" s="3">
        <v>38</v>
      </c>
      <c r="B40" s="4">
        <v>1.514265</v>
      </c>
      <c r="C40" s="7">
        <f t="shared" si="1"/>
        <v>0.249853725</v>
      </c>
      <c r="D40" s="7">
        <v>1.27</v>
      </c>
      <c r="E40" s="7">
        <v>0.56000000000000005</v>
      </c>
      <c r="F40" s="7">
        <v>7.4</v>
      </c>
      <c r="G40" s="7"/>
      <c r="H40" s="7"/>
    </row>
    <row r="41" spans="1:8" x14ac:dyDescent="0.3">
      <c r="A41" s="3">
        <v>39</v>
      </c>
      <c r="B41" s="4">
        <v>1.6569229999999999</v>
      </c>
      <c r="C41" s="7">
        <f t="shared" si="1"/>
        <v>0.27339229500000001</v>
      </c>
      <c r="D41" s="7">
        <v>1.27</v>
      </c>
      <c r="E41" s="7">
        <v>0.56000000000000005</v>
      </c>
      <c r="F41" s="7">
        <v>7.4</v>
      </c>
      <c r="G41" s="7"/>
      <c r="H41" s="7"/>
    </row>
    <row r="42" spans="1:8" x14ac:dyDescent="0.3">
      <c r="A42" s="3">
        <v>40</v>
      </c>
      <c r="B42" s="4">
        <v>1.8143180000000001</v>
      </c>
      <c r="C42" s="7">
        <f t="shared" si="1"/>
        <v>0.29936247000000005</v>
      </c>
      <c r="D42" s="7">
        <v>1.27</v>
      </c>
      <c r="E42" s="7">
        <v>0.56000000000000005</v>
      </c>
      <c r="F42" s="7">
        <v>7.4</v>
      </c>
      <c r="G42" s="7"/>
      <c r="H42" s="7"/>
    </row>
    <row r="43" spans="1:8" x14ac:dyDescent="0.3">
      <c r="A43" s="3">
        <v>41</v>
      </c>
      <c r="B43" s="4">
        <v>1.99447</v>
      </c>
      <c r="C43" s="7">
        <f t="shared" si="1"/>
        <v>0.32908755000000001</v>
      </c>
      <c r="D43" s="7">
        <v>1.27</v>
      </c>
      <c r="E43" s="7">
        <v>0.56000000000000005</v>
      </c>
      <c r="F43" s="7">
        <v>7.4</v>
      </c>
      <c r="G43" s="7"/>
      <c r="H43" s="7"/>
    </row>
    <row r="44" spans="1:8" x14ac:dyDescent="0.3">
      <c r="A44" s="3">
        <v>42</v>
      </c>
      <c r="B44" s="4">
        <v>2.3092350000000001</v>
      </c>
      <c r="C44" s="7">
        <f t="shared" si="1"/>
        <v>0.38102377500000001</v>
      </c>
      <c r="D44" s="7">
        <v>1.27</v>
      </c>
      <c r="E44" s="7">
        <v>0.56000000000000005</v>
      </c>
      <c r="F44" s="7">
        <v>7.4</v>
      </c>
      <c r="G44" s="7"/>
      <c r="H44" s="7"/>
    </row>
    <row r="45" spans="1:8" x14ac:dyDescent="0.3">
      <c r="A45" s="3">
        <v>43</v>
      </c>
      <c r="B45" s="4">
        <v>2.708685</v>
      </c>
      <c r="C45" s="7">
        <f t="shared" si="1"/>
        <v>0.44693302499999998</v>
      </c>
      <c r="D45" s="7">
        <v>1.27</v>
      </c>
      <c r="E45" s="7">
        <v>0.56000000000000005</v>
      </c>
      <c r="F45" s="7">
        <v>7.4</v>
      </c>
      <c r="G45" s="7"/>
      <c r="H45" s="7"/>
    </row>
    <row r="46" spans="1:8" x14ac:dyDescent="0.3">
      <c r="A46" s="3">
        <v>44</v>
      </c>
      <c r="B46" s="4">
        <v>3.1885479999999999</v>
      </c>
      <c r="C46" s="7">
        <f t="shared" si="1"/>
        <v>0.52611041999999997</v>
      </c>
      <c r="D46" s="7">
        <v>1.27</v>
      </c>
      <c r="E46" s="7">
        <v>0.56000000000000005</v>
      </c>
      <c r="F46" s="7">
        <v>7.4</v>
      </c>
      <c r="G46" s="7"/>
      <c r="H46" s="7"/>
    </row>
    <row r="47" spans="1:8" x14ac:dyDescent="0.3">
      <c r="A47" s="3">
        <v>45</v>
      </c>
      <c r="B47" s="4">
        <v>3.7434099999999999</v>
      </c>
      <c r="C47" s="7">
        <f t="shared" si="1"/>
        <v>0.61766264999999998</v>
      </c>
      <c r="D47" s="7">
        <v>1.27</v>
      </c>
      <c r="E47" s="7">
        <v>0.56000000000000005</v>
      </c>
      <c r="F47" s="7">
        <v>7.4</v>
      </c>
      <c r="G47" s="7"/>
      <c r="H47" s="7"/>
    </row>
    <row r="48" spans="1:8" x14ac:dyDescent="0.3">
      <c r="A48" s="3">
        <v>46</v>
      </c>
      <c r="B48" s="4">
        <v>4.3830049999999998</v>
      </c>
      <c r="C48" s="7">
        <f t="shared" si="1"/>
        <v>0.72319582500000001</v>
      </c>
      <c r="D48" s="7">
        <v>1.27</v>
      </c>
      <c r="E48" s="7">
        <v>0.56000000000000005</v>
      </c>
      <c r="F48" s="7">
        <v>7.4</v>
      </c>
      <c r="G48" s="7"/>
      <c r="H48" s="7"/>
    </row>
    <row r="49" spans="1:11" x14ac:dyDescent="0.3">
      <c r="A49" s="3">
        <v>47</v>
      </c>
      <c r="B49" s="4">
        <v>5.1302149999999997</v>
      </c>
      <c r="C49" s="7">
        <f t="shared" si="1"/>
        <v>0.84648547499999993</v>
      </c>
      <c r="D49" s="7">
        <v>1.27</v>
      </c>
      <c r="E49" s="7">
        <v>0.56000000000000005</v>
      </c>
      <c r="F49" s="7">
        <v>7.4</v>
      </c>
      <c r="G49" s="7"/>
      <c r="H49" s="7"/>
    </row>
    <row r="50" spans="1:11" x14ac:dyDescent="0.3">
      <c r="A50" s="3">
        <v>48</v>
      </c>
      <c r="B50" s="4">
        <v>5.9690979999999998</v>
      </c>
      <c r="C50" s="7">
        <f t="shared" si="1"/>
        <v>0.98490116999999999</v>
      </c>
      <c r="D50" s="7">
        <v>1.27</v>
      </c>
      <c r="E50" s="7">
        <v>0.56000000000000005</v>
      </c>
      <c r="F50" s="7">
        <v>7.4</v>
      </c>
      <c r="G50" s="7"/>
      <c r="H50" s="7"/>
    </row>
    <row r="51" spans="1:11" x14ac:dyDescent="0.3">
      <c r="A51" s="3">
        <v>49</v>
      </c>
      <c r="B51" s="4">
        <v>6.9138999999999999</v>
      </c>
      <c r="C51" s="7">
        <f t="shared" si="1"/>
        <v>1.1407935</v>
      </c>
      <c r="D51" s="7">
        <v>1.27</v>
      </c>
      <c r="E51" s="7">
        <v>0.56000000000000005</v>
      </c>
      <c r="F51" s="7">
        <v>7.4</v>
      </c>
      <c r="G51" s="7"/>
      <c r="H51" s="7"/>
    </row>
    <row r="52" spans="1:11" x14ac:dyDescent="0.3">
      <c r="A52" s="3">
        <v>50</v>
      </c>
      <c r="B52" s="4">
        <v>7.9522550000000001</v>
      </c>
      <c r="C52" s="7">
        <f t="shared" si="1"/>
        <v>1.312122075</v>
      </c>
      <c r="D52" s="7">
        <v>1.27</v>
      </c>
      <c r="E52" s="7">
        <v>0.56000000000000005</v>
      </c>
      <c r="F52" s="7">
        <v>7.4</v>
      </c>
      <c r="G52" s="7"/>
      <c r="H52" s="7"/>
    </row>
    <row r="53" spans="1:11" x14ac:dyDescent="0.3">
      <c r="A53" s="3">
        <v>51</v>
      </c>
      <c r="B53" s="4">
        <v>8.7939330000000009</v>
      </c>
      <c r="C53" s="7">
        <f t="shared" ref="C53:C76" si="2">B53*165/1000</f>
        <v>1.450998945</v>
      </c>
      <c r="D53" s="7">
        <v>1.27</v>
      </c>
      <c r="E53" s="7">
        <v>0.56000000000000005</v>
      </c>
      <c r="F53" s="7">
        <v>7.4</v>
      </c>
      <c r="G53" s="7"/>
      <c r="H53" s="7"/>
    </row>
    <row r="54" spans="1:11" x14ac:dyDescent="0.3">
      <c r="A54" s="3">
        <v>52</v>
      </c>
      <c r="B54" s="4">
        <v>9.6873579999999997</v>
      </c>
      <c r="C54" s="7">
        <f t="shared" si="2"/>
        <v>1.59841407</v>
      </c>
      <c r="D54" s="7">
        <v>1.27</v>
      </c>
      <c r="E54" s="7">
        <v>0.56000000000000005</v>
      </c>
      <c r="F54" s="7">
        <v>7.4</v>
      </c>
      <c r="G54" s="7"/>
      <c r="H54" s="7"/>
    </row>
    <row r="55" spans="1:11" x14ac:dyDescent="0.3">
      <c r="A55" s="3">
        <v>53</v>
      </c>
      <c r="B55" s="4">
        <v>10.6296</v>
      </c>
      <c r="C55" s="7">
        <f t="shared" si="2"/>
        <v>1.753884</v>
      </c>
      <c r="D55" s="7">
        <v>1.27</v>
      </c>
      <c r="E55" s="7">
        <v>0.56000000000000005</v>
      </c>
      <c r="F55" s="7">
        <v>7.4</v>
      </c>
      <c r="G55" s="7"/>
      <c r="H55" s="7"/>
    </row>
    <row r="56" spans="1:11" x14ac:dyDescent="0.3">
      <c r="A56" s="3">
        <v>54</v>
      </c>
      <c r="B56" s="4">
        <v>11.622655</v>
      </c>
      <c r="C56" s="7">
        <f t="shared" si="2"/>
        <v>1.9177380749999999</v>
      </c>
      <c r="D56" s="7">
        <v>1.27</v>
      </c>
      <c r="E56" s="7">
        <v>0.56000000000000005</v>
      </c>
      <c r="F56" s="7">
        <v>7.4</v>
      </c>
      <c r="G56" s="7"/>
      <c r="H56" s="7"/>
    </row>
    <row r="57" spans="1:11" x14ac:dyDescent="0.3">
      <c r="A57" s="3">
        <v>55</v>
      </c>
      <c r="B57" s="4">
        <v>12.672693000000001</v>
      </c>
      <c r="C57" s="7">
        <f t="shared" si="2"/>
        <v>2.0909943449999999</v>
      </c>
      <c r="D57" s="7">
        <v>1.27</v>
      </c>
      <c r="E57" s="7">
        <v>0.56000000000000005</v>
      </c>
      <c r="F57" s="7">
        <v>7.4</v>
      </c>
      <c r="G57" s="7"/>
      <c r="H57" s="7"/>
    </row>
    <row r="58" spans="1:11" x14ac:dyDescent="0.3">
      <c r="A58" s="3">
        <v>56</v>
      </c>
      <c r="B58" s="4">
        <v>13.789598</v>
      </c>
      <c r="C58" s="7">
        <f t="shared" si="2"/>
        <v>2.2752836699999999</v>
      </c>
      <c r="D58" s="7">
        <v>1.27</v>
      </c>
      <c r="E58" s="7">
        <v>0.56000000000000005</v>
      </c>
      <c r="F58" s="7">
        <v>7.4</v>
      </c>
      <c r="G58" s="7"/>
      <c r="H58" s="7"/>
      <c r="K58" s="9"/>
    </row>
    <row r="59" spans="1:11" x14ac:dyDescent="0.3">
      <c r="A59" s="3">
        <v>57</v>
      </c>
      <c r="B59" s="4">
        <v>14.982918</v>
      </c>
      <c r="C59" s="7">
        <f t="shared" si="2"/>
        <v>2.4721814699999998</v>
      </c>
      <c r="D59" s="7">
        <v>1.27</v>
      </c>
      <c r="E59" s="7">
        <v>0.56000000000000005</v>
      </c>
      <c r="F59" s="7">
        <v>7.4</v>
      </c>
      <c r="G59" s="7"/>
      <c r="H59" s="7"/>
    </row>
    <row r="60" spans="1:11" x14ac:dyDescent="0.3">
      <c r="A60" s="3">
        <v>58</v>
      </c>
      <c r="B60" s="4">
        <v>16.260809999999999</v>
      </c>
      <c r="C60" s="7">
        <f t="shared" si="2"/>
        <v>2.68303365</v>
      </c>
      <c r="D60" s="7">
        <v>1.27</v>
      </c>
      <c r="E60" s="7">
        <v>0.56000000000000005</v>
      </c>
      <c r="F60" s="7">
        <v>7.4</v>
      </c>
      <c r="G60" s="7"/>
      <c r="H60" s="7"/>
    </row>
    <row r="61" spans="1:11" x14ac:dyDescent="0.3">
      <c r="A61" s="3">
        <v>59</v>
      </c>
      <c r="B61" s="4">
        <v>17.630123000000001</v>
      </c>
      <c r="C61" s="7">
        <f t="shared" si="2"/>
        <v>2.908970295</v>
      </c>
      <c r="D61" s="7">
        <v>1.27</v>
      </c>
      <c r="E61" s="7">
        <v>0.56000000000000005</v>
      </c>
      <c r="F61" s="7">
        <v>7.4</v>
      </c>
      <c r="G61" s="7"/>
      <c r="H61" s="7"/>
    </row>
    <row r="62" spans="1:11" x14ac:dyDescent="0.3">
      <c r="A62" s="3">
        <v>60</v>
      </c>
      <c r="B62" s="4">
        <v>19.095759999999999</v>
      </c>
      <c r="C62" s="7">
        <f t="shared" si="2"/>
        <v>3.1508003999999996</v>
      </c>
      <c r="D62" s="7">
        <v>1.27</v>
      </c>
      <c r="E62" s="7">
        <v>0.56000000000000005</v>
      </c>
      <c r="F62" s="7">
        <v>7.4</v>
      </c>
      <c r="G62" s="7"/>
      <c r="H62" s="7"/>
    </row>
    <row r="63" spans="1:11" x14ac:dyDescent="0.3">
      <c r="A63" s="3">
        <v>61</v>
      </c>
      <c r="B63" s="4">
        <v>20.663530000000002</v>
      </c>
      <c r="C63" s="7">
        <f t="shared" si="2"/>
        <v>3.4094824500000005</v>
      </c>
      <c r="D63" s="7">
        <v>1.27</v>
      </c>
      <c r="E63" s="7">
        <v>0.56000000000000005</v>
      </c>
      <c r="F63" s="7">
        <v>7.4</v>
      </c>
      <c r="G63" s="7"/>
      <c r="H63" s="7"/>
    </row>
    <row r="64" spans="1:11" x14ac:dyDescent="0.3">
      <c r="A64" s="3">
        <v>62</v>
      </c>
      <c r="B64" s="4">
        <v>22.345497999999999</v>
      </c>
      <c r="C64" s="7">
        <f t="shared" si="2"/>
        <v>3.6870071699999998</v>
      </c>
      <c r="D64" s="7">
        <v>1.27</v>
      </c>
      <c r="E64" s="7">
        <v>0.56000000000000005</v>
      </c>
      <c r="F64" s="7">
        <v>7.4</v>
      </c>
      <c r="G64" s="7"/>
      <c r="H64" s="7"/>
    </row>
    <row r="65" spans="1:8" x14ac:dyDescent="0.3">
      <c r="A65" s="3">
        <v>63</v>
      </c>
      <c r="B65" s="4">
        <v>24.158825</v>
      </c>
      <c r="C65" s="7">
        <f t="shared" si="2"/>
        <v>3.9862061250000003</v>
      </c>
      <c r="D65" s="7">
        <v>1.27</v>
      </c>
      <c r="E65" s="7">
        <v>0.56000000000000005</v>
      </c>
      <c r="F65" s="7">
        <v>7.4</v>
      </c>
      <c r="G65" s="7"/>
      <c r="H65" s="7"/>
    </row>
    <row r="66" spans="1:8" x14ac:dyDescent="0.3">
      <c r="A66" s="3">
        <v>64</v>
      </c>
      <c r="B66" s="4">
        <v>26.126902999999999</v>
      </c>
      <c r="C66" s="7">
        <f t="shared" si="2"/>
        <v>4.3109389949999999</v>
      </c>
      <c r="D66" s="7">
        <v>1.27</v>
      </c>
      <c r="E66" s="7">
        <v>0.56000000000000005</v>
      </c>
      <c r="F66" s="7">
        <v>7.4</v>
      </c>
      <c r="G66" s="7"/>
      <c r="H66" s="7"/>
    </row>
    <row r="67" spans="1:8" x14ac:dyDescent="0.3">
      <c r="A67" s="3">
        <v>65</v>
      </c>
      <c r="B67" s="4">
        <v>78.422043000000002</v>
      </c>
      <c r="C67" s="7">
        <f t="shared" si="2"/>
        <v>12.939637095</v>
      </c>
      <c r="D67" s="7">
        <v>1.1599999999999999</v>
      </c>
      <c r="E67" s="7">
        <v>0.51</v>
      </c>
      <c r="F67" s="7">
        <v>6.71</v>
      </c>
      <c r="G67" s="7"/>
      <c r="H67" s="7"/>
    </row>
    <row r="68" spans="1:8" x14ac:dyDescent="0.3">
      <c r="A68" s="3">
        <v>66</v>
      </c>
      <c r="B68" s="4">
        <v>82.004040000000003</v>
      </c>
      <c r="C68" s="7">
        <f t="shared" si="2"/>
        <v>13.5306666</v>
      </c>
      <c r="D68" s="7">
        <v>1.1599999999999999</v>
      </c>
      <c r="E68" s="7">
        <v>0.51</v>
      </c>
      <c r="F68" s="7">
        <v>6.71</v>
      </c>
      <c r="G68" s="7"/>
      <c r="H68" s="7"/>
    </row>
    <row r="69" spans="1:8" x14ac:dyDescent="0.3">
      <c r="A69" s="3">
        <v>67</v>
      </c>
      <c r="B69" s="4">
        <v>85.854754999999997</v>
      </c>
      <c r="C69" s="7">
        <f t="shared" si="2"/>
        <v>14.166034574999999</v>
      </c>
      <c r="D69" s="7">
        <v>1.1599999999999999</v>
      </c>
      <c r="E69" s="7">
        <v>0.51</v>
      </c>
      <c r="F69" s="7">
        <v>6.71</v>
      </c>
      <c r="G69" s="7"/>
      <c r="H69" s="7"/>
    </row>
    <row r="70" spans="1:8" x14ac:dyDescent="0.3">
      <c r="A70" s="3">
        <v>68</v>
      </c>
      <c r="B70" s="4">
        <v>90.002309999999994</v>
      </c>
      <c r="C70" s="7">
        <f t="shared" si="2"/>
        <v>14.850381149999999</v>
      </c>
      <c r="D70" s="7">
        <v>1.1599999999999999</v>
      </c>
      <c r="E70" s="7">
        <v>0.51</v>
      </c>
      <c r="F70" s="7">
        <v>6.71</v>
      </c>
      <c r="G70" s="7"/>
      <c r="H70" s="7"/>
    </row>
    <row r="71" spans="1:8" x14ac:dyDescent="0.3">
      <c r="A71" s="3">
        <v>69</v>
      </c>
      <c r="B71" s="4">
        <v>94.477860000000007</v>
      </c>
      <c r="C71" s="7">
        <f t="shared" si="2"/>
        <v>15.5888469</v>
      </c>
      <c r="D71" s="7">
        <v>1.1599999999999999</v>
      </c>
      <c r="E71" s="7">
        <v>0.51</v>
      </c>
      <c r="F71" s="7">
        <v>6.71</v>
      </c>
      <c r="G71" s="7"/>
      <c r="H71" s="7"/>
    </row>
    <row r="72" spans="1:8" x14ac:dyDescent="0.3">
      <c r="A72" s="3">
        <v>70</v>
      </c>
      <c r="B72" s="4">
        <v>99.315910000000002</v>
      </c>
      <c r="C72" s="7">
        <f t="shared" si="2"/>
        <v>16.387125149999999</v>
      </c>
      <c r="D72" s="7">
        <v>1.1599999999999999</v>
      </c>
      <c r="E72" s="7">
        <v>0.51</v>
      </c>
      <c r="F72" s="7">
        <v>6.71</v>
      </c>
      <c r="G72" s="7"/>
      <c r="H72" s="7"/>
    </row>
    <row r="73" spans="1:8" x14ac:dyDescent="0.3">
      <c r="A73" s="3">
        <v>71</v>
      </c>
      <c r="B73" s="4">
        <v>104.554475</v>
      </c>
      <c r="C73" s="7">
        <f t="shared" si="2"/>
        <v>17.251488375000001</v>
      </c>
      <c r="D73" s="7">
        <v>1.1599999999999999</v>
      </c>
      <c r="E73" s="7">
        <v>0.51</v>
      </c>
      <c r="F73" s="7">
        <v>6.71</v>
      </c>
      <c r="G73" s="7"/>
      <c r="H73" s="7"/>
    </row>
    <row r="74" spans="1:8" x14ac:dyDescent="0.3">
      <c r="A74" s="3">
        <v>72</v>
      </c>
      <c r="B74" s="4">
        <v>110.235242</v>
      </c>
      <c r="C74" s="7">
        <f t="shared" si="2"/>
        <v>18.188814929999999</v>
      </c>
      <c r="D74" s="7">
        <v>1.1599999999999999</v>
      </c>
      <c r="E74" s="7">
        <v>0.51</v>
      </c>
      <c r="F74" s="7">
        <v>6.71</v>
      </c>
      <c r="G74" s="7"/>
      <c r="H74" s="7"/>
    </row>
    <row r="75" spans="1:8" x14ac:dyDescent="0.3">
      <c r="A75" s="3">
        <v>73</v>
      </c>
      <c r="B75" s="4">
        <v>116.40378</v>
      </c>
      <c r="C75" s="7">
        <f t="shared" si="2"/>
        <v>19.206623700000002</v>
      </c>
      <c r="D75" s="7">
        <v>1.1599999999999999</v>
      </c>
      <c r="E75" s="7">
        <v>0.51</v>
      </c>
      <c r="F75" s="7">
        <v>6.71</v>
      </c>
      <c r="G75" s="7"/>
      <c r="H75" s="7"/>
    </row>
    <row r="76" spans="1:8" x14ac:dyDescent="0.3">
      <c r="A76" s="3">
        <v>74</v>
      </c>
      <c r="B76" s="4">
        <v>123.110247</v>
      </c>
      <c r="C76" s="7">
        <f t="shared" si="2"/>
        <v>20.313190755000001</v>
      </c>
      <c r="D76" s="7">
        <v>1.1599999999999999</v>
      </c>
      <c r="E76" s="7">
        <v>0.51</v>
      </c>
      <c r="F76" s="7">
        <v>6.71</v>
      </c>
      <c r="G76" s="7"/>
      <c r="H76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E49CC-597E-4305-826F-BC692E5C2E1F}">
  <sheetPr codeName="Hoja4"/>
  <dimension ref="B2:S33"/>
  <sheetViews>
    <sheetView showGridLines="0" showRowColHeaders="0" tabSelected="1" topLeftCell="A10" zoomScale="110" zoomScaleNormal="110" workbookViewId="0">
      <selection activeCell="D11" sqref="D11"/>
    </sheetView>
  </sheetViews>
  <sheetFormatPr baseColWidth="10" defaultRowHeight="14.4" x14ac:dyDescent="0.3"/>
  <cols>
    <col min="1" max="1" width="2.109375" customWidth="1"/>
    <col min="2" max="2" width="20.88671875" customWidth="1"/>
    <col min="3" max="3" width="11.44140625" customWidth="1"/>
    <col min="4" max="4" width="12.88671875" customWidth="1"/>
    <col min="5" max="5" width="12.44140625" customWidth="1"/>
    <col min="6" max="6" width="6.44140625" hidden="1" customWidth="1"/>
    <col min="7" max="7" width="22.109375" hidden="1" customWidth="1"/>
    <col min="8" max="8" width="19.44140625" hidden="1" customWidth="1"/>
    <col min="9" max="9" width="15" hidden="1" customWidth="1"/>
    <col min="10" max="10" width="10.6640625" hidden="1" customWidth="1"/>
    <col min="11" max="11" width="7.5546875" hidden="1" customWidth="1"/>
    <col min="12" max="12" width="11.44140625" hidden="1" customWidth="1"/>
    <col min="13" max="13" width="12.33203125" hidden="1" customWidth="1"/>
    <col min="14" max="14" width="11.5546875" hidden="1" customWidth="1"/>
    <col min="15" max="15" width="13.44140625" hidden="1" customWidth="1"/>
    <col min="16" max="16" width="13.5546875" hidden="1" customWidth="1"/>
    <col min="17" max="17" width="25" customWidth="1"/>
    <col min="18" max="18" width="15" customWidth="1"/>
    <col min="19" max="19" width="2.6640625" hidden="1" customWidth="1"/>
    <col min="20" max="20" width="13.5546875" customWidth="1"/>
  </cols>
  <sheetData>
    <row r="2" spans="2:18" x14ac:dyDescent="0.3">
      <c r="E2" s="64"/>
      <c r="F2" s="61"/>
    </row>
    <row r="3" spans="2:18" x14ac:dyDescent="0.3">
      <c r="D3" s="64">
        <f ca="1">TODAY()</f>
        <v>45363</v>
      </c>
      <c r="E3" s="63"/>
    </row>
    <row r="4" spans="2:18" x14ac:dyDescent="0.3">
      <c r="D4" s="65" t="s">
        <v>92</v>
      </c>
      <c r="E4" s="62"/>
    </row>
    <row r="5" spans="2:18" x14ac:dyDescent="0.3">
      <c r="D5" s="61" t="s">
        <v>93</v>
      </c>
      <c r="E5" s="61"/>
    </row>
    <row r="8" spans="2:18" ht="21" x14ac:dyDescent="0.4">
      <c r="B8" s="78" t="s">
        <v>110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10" spans="2:18" ht="57.75" customHeight="1" x14ac:dyDescent="0.3">
      <c r="B10" s="69" t="s">
        <v>71</v>
      </c>
      <c r="C10" s="70" t="s">
        <v>66</v>
      </c>
      <c r="D10" s="69" t="s">
        <v>72</v>
      </c>
      <c r="E10" s="69" t="s">
        <v>95</v>
      </c>
      <c r="F10" s="71" t="s">
        <v>67</v>
      </c>
      <c r="G10" s="71" t="s">
        <v>68</v>
      </c>
      <c r="H10" s="71" t="s">
        <v>59</v>
      </c>
      <c r="I10" s="71" t="s">
        <v>69</v>
      </c>
      <c r="J10" s="72" t="s">
        <v>54</v>
      </c>
      <c r="K10" s="71" t="s">
        <v>55</v>
      </c>
      <c r="L10" s="71" t="s">
        <v>56</v>
      </c>
      <c r="M10" s="71" t="s">
        <v>57</v>
      </c>
      <c r="N10" s="73" t="s">
        <v>73</v>
      </c>
      <c r="O10" s="73" t="s">
        <v>64</v>
      </c>
      <c r="P10" s="74" t="s">
        <v>65</v>
      </c>
      <c r="Q10" s="69" t="s">
        <v>94</v>
      </c>
    </row>
    <row r="11" spans="2:18" ht="22.5" customHeight="1" x14ac:dyDescent="0.3">
      <c r="B11" s="66" t="s">
        <v>96</v>
      </c>
      <c r="C11" s="55"/>
      <c r="D11" s="58"/>
      <c r="E11" s="76" t="str">
        <f>IF(ISBLANK(D11)," ",_xlfn.XLOOKUP($G11,CP_IMPORTE!$B:$B,CP_IMPORTE!$C:$C))</f>
        <v xml:space="preserve"> </v>
      </c>
      <c r="F11" s="50" t="str">
        <f ca="1">IF(ISBLANK(C11)," ",ROUND((TODAY()-C11)/365,0))</f>
        <v xml:space="preserve"> </v>
      </c>
      <c r="G11" s="50" t="str">
        <f>IF(ISBLANK(D11)," ",VLOOKUP($D11,CP_IMPORTE!$A$1:$C$51,2))</f>
        <v xml:space="preserve"> </v>
      </c>
      <c r="H11" s="53" t="str">
        <f ca="1">IF(F11&gt;75," ",IF(ISBLANK(C11)," ",(_xlfn.XLOOKUP($F11,EDAD_TASA!$A:$A,EDAD_TASA!$B:$B))))</f>
        <v xml:space="preserve"> </v>
      </c>
      <c r="I11" s="51" t="str">
        <f ca="1">IF($F11&gt;75," ",IF(ISBLANK(D11)," ",( E11*H11/1000)))</f>
        <v xml:space="preserve"> </v>
      </c>
      <c r="J11" s="51" t="str">
        <f ca="1">IF(F11&gt;75," ",IF(ISBLANK(C11)," ",(_xlfn.XLOOKUP($F11,EDAD_TASA!$A:$A,EDAD_TASA!$C:$C))))</f>
        <v xml:space="preserve"> </v>
      </c>
      <c r="K11" s="50" t="str">
        <f ca="1">IF($F11&gt;75," ",IF(ISBLANK(C11)," ",_xlfn.XLOOKUP($F11,EDAD_TASA!$A:$A,EDAD_TASA!$D:$D)))</f>
        <v xml:space="preserve"> </v>
      </c>
      <c r="L11" s="50" t="str">
        <f ca="1">IF(F11&gt;75," ",IF(ISBLANK(C11)," ",_xlfn.XLOOKUP($F11,EDAD_TASA!$A:$A,EDAD_TASA!$E:$E)))</f>
        <v xml:space="preserve"> </v>
      </c>
      <c r="M11" s="50" t="str">
        <f ca="1">IF(F11&gt;75," ",IF(ISBLANK(C11)," ",_xlfn.XLOOKUP($F11,EDAD_TASA!$A:$A,EDAD_TASA!$F:$F)))</f>
        <v xml:space="preserve"> </v>
      </c>
      <c r="N11" s="52" t="str">
        <f t="shared" ref="N11:N20" ca="1" si="0">IF(F11&gt;75," ",IF(ISBLANK(D11)," ",IF(ISBLANK(C11)," ",ROUNDUP(SUM(I11:M11),2))))</f>
        <v xml:space="preserve"> </v>
      </c>
      <c r="O11" s="53" t="str">
        <f t="shared" ref="O11:O20" ca="1" si="1">IF(F11&gt;75," ",IF(ISBLANK(D11)," ",IF(ISBLANK(C11)," ",ROUNDUP(N11*0.08,2))))</f>
        <v xml:space="preserve"> </v>
      </c>
      <c r="P11" s="53" t="str">
        <f t="shared" ref="P11:P20" ca="1" si="2">IF(F11&gt;75," ",IF(ISBLANK(D11)," ",IF(ISBLANK(C11)," ",ROUNDUP(N11*0.0015,2))))</f>
        <v xml:space="preserve"> </v>
      </c>
      <c r="Q11" s="77" t="str">
        <f>IF(ISBLANK(C11)," ",IF($F11&gt;=75,"No contratable ",IF(ISBLANK(D11)," ",IFERROR(SUM(N11:P11),0))))</f>
        <v xml:space="preserve"> </v>
      </c>
    </row>
    <row r="12" spans="2:18" ht="22.5" customHeight="1" x14ac:dyDescent="0.3">
      <c r="B12" s="66" t="s">
        <v>97</v>
      </c>
      <c r="C12" s="55"/>
      <c r="D12" s="58"/>
      <c r="E12" s="76" t="str">
        <f>IF(ISBLANK(D12)," ",_xlfn.XLOOKUP($G12,CP_IMPORTE!$B:$B,CP_IMPORTE!$C:$C))</f>
        <v xml:space="preserve"> </v>
      </c>
      <c r="F12" s="50" t="str">
        <f t="shared" ref="F12:F20" ca="1" si="3">IF(ISBLANK(C12)," ",ROUND((TODAY()-C12)/365,0))</f>
        <v xml:space="preserve"> </v>
      </c>
      <c r="G12" s="50" t="str">
        <f>IF(ISBLANK(D12)," ",VLOOKUP($D12,CP_IMPORTE!$A$1:$C$51,2))</f>
        <v xml:space="preserve"> </v>
      </c>
      <c r="H12" s="53" t="str">
        <f ca="1">IF(F12&gt;75," ",IF(ISBLANK(C12)," ",(_xlfn.XLOOKUP($F12,EDAD_TASA!$A:$A,EDAD_TASA!$B:$B))))</f>
        <v xml:space="preserve"> </v>
      </c>
      <c r="I12" s="51" t="str">
        <f t="shared" ref="I12:I20" ca="1" si="4">IF($F12&gt;75," ",IF(ISBLANK(D12)," ",( E12*H12/1000)))</f>
        <v xml:space="preserve"> </v>
      </c>
      <c r="J12" s="51" t="str">
        <f ca="1">IF(F12&gt;75," ",IF(ISBLANK(C12)," ",(_xlfn.XLOOKUP($F12,EDAD_TASA!$A:$A,EDAD_TASA!$C:$C))))</f>
        <v xml:space="preserve"> </v>
      </c>
      <c r="K12" s="50" t="str">
        <f ca="1">IF($F12&gt;75," ",IF(ISBLANK(C12)," ",_xlfn.XLOOKUP($F12,EDAD_TASA!$A:$A,EDAD_TASA!$D:$D)))</f>
        <v xml:space="preserve"> </v>
      </c>
      <c r="L12" s="50" t="str">
        <f ca="1">IF(F12&gt;75," ",IF(ISBLANK(C12)," ",_xlfn.XLOOKUP($F12,EDAD_TASA!$A:$A,EDAD_TASA!$E:$E)))</f>
        <v xml:space="preserve"> </v>
      </c>
      <c r="M12" s="50" t="str">
        <f ca="1">IF(F12&gt;75," ",IF(ISBLANK(C12)," ",_xlfn.XLOOKUP($F12,EDAD_TASA!$A:$A,EDAD_TASA!$F:$F)))</f>
        <v xml:space="preserve"> </v>
      </c>
      <c r="N12" s="52" t="str">
        <f t="shared" ca="1" si="0"/>
        <v xml:space="preserve"> </v>
      </c>
      <c r="O12" s="53" t="str">
        <f t="shared" ca="1" si="1"/>
        <v xml:space="preserve"> </v>
      </c>
      <c r="P12" s="53" t="str">
        <f t="shared" ca="1" si="2"/>
        <v xml:space="preserve"> </v>
      </c>
      <c r="Q12" s="77" t="str">
        <f>IF(ISBLANK(C12)," ",IF($F12&gt;=75,"No contratable ",IF(ISBLANK(D12)," ",IFERROR(SUM(N12:P12),0))))</f>
        <v xml:space="preserve"> </v>
      </c>
    </row>
    <row r="13" spans="2:18" ht="22.5" customHeight="1" x14ac:dyDescent="0.3">
      <c r="B13" s="66" t="s">
        <v>98</v>
      </c>
      <c r="C13" s="55"/>
      <c r="D13" s="58"/>
      <c r="E13" s="76" t="str">
        <f>IF(ISBLANK(D13)," ",_xlfn.XLOOKUP($G13,CP_IMPORTE!$B:$B,CP_IMPORTE!$C:$C))</f>
        <v xml:space="preserve"> </v>
      </c>
      <c r="F13" s="50" t="str">
        <f t="shared" ca="1" si="3"/>
        <v xml:space="preserve"> </v>
      </c>
      <c r="G13" s="50" t="str">
        <f>IF(ISBLANK(D13)," ",VLOOKUP($D13,CP_IMPORTE!$A$1:$C$51,2))</f>
        <v xml:space="preserve"> </v>
      </c>
      <c r="H13" s="53" t="str">
        <f ca="1">IF(F13&gt;75," ",IF(ISBLANK(C13)," ",(_xlfn.XLOOKUP($F13,EDAD_TASA!$A:$A,EDAD_TASA!$B:$B))))</f>
        <v xml:space="preserve"> </v>
      </c>
      <c r="I13" s="51" t="str">
        <f t="shared" ca="1" si="4"/>
        <v xml:space="preserve"> </v>
      </c>
      <c r="J13" s="51" t="str">
        <f ca="1">IF(F13&gt;75," ",IF(ISBLANK(C13)," ",(_xlfn.XLOOKUP($F13,EDAD_TASA!$A:$A,EDAD_TASA!$C:$C))))</f>
        <v xml:space="preserve"> </v>
      </c>
      <c r="K13" s="50" t="str">
        <f ca="1">IF($F13&gt;75," ",IF(ISBLANK(C13)," ",_xlfn.XLOOKUP($F13,EDAD_TASA!$A:$A,EDAD_TASA!$D:$D)))</f>
        <v xml:space="preserve"> </v>
      </c>
      <c r="L13" s="50" t="str">
        <f ca="1">IF(F13&gt;75," ",IF(ISBLANK(C13)," ",_xlfn.XLOOKUP($F13,EDAD_TASA!$A:$A,EDAD_TASA!$E:$E)))</f>
        <v xml:space="preserve"> </v>
      </c>
      <c r="M13" s="50" t="str">
        <f ca="1">IF(F13&gt;75," ",IF(ISBLANK(C13)," ",_xlfn.XLOOKUP($F13,EDAD_TASA!$A:$A,EDAD_TASA!$F:$F)))</f>
        <v xml:space="preserve"> </v>
      </c>
      <c r="N13" s="52" t="str">
        <f t="shared" ca="1" si="0"/>
        <v xml:space="preserve"> </v>
      </c>
      <c r="O13" s="53" t="str">
        <f t="shared" ca="1" si="1"/>
        <v xml:space="preserve"> </v>
      </c>
      <c r="P13" s="53" t="str">
        <f t="shared" ca="1" si="2"/>
        <v xml:space="preserve"> </v>
      </c>
      <c r="Q13" s="77" t="str">
        <f t="shared" ref="Q13:Q20" si="5">IF(ISBLANK(C13)," ",IF($F13&gt;=75,"No contratable ",IF(ISBLANK(D13)," ",IFERROR(SUM(N13:P13),0))))</f>
        <v xml:space="preserve"> </v>
      </c>
    </row>
    <row r="14" spans="2:18" ht="22.5" customHeight="1" x14ac:dyDescent="0.3">
      <c r="B14" s="66" t="s">
        <v>99</v>
      </c>
      <c r="C14" s="55"/>
      <c r="D14" s="58"/>
      <c r="E14" s="76" t="str">
        <f>IF(ISBLANK(D14)," ",_xlfn.XLOOKUP($G14,CP_IMPORTE!$B:$B,CP_IMPORTE!$C:$C))</f>
        <v xml:space="preserve"> </v>
      </c>
      <c r="F14" s="50" t="str">
        <f t="shared" ca="1" si="3"/>
        <v xml:space="preserve"> </v>
      </c>
      <c r="G14" s="50" t="str">
        <f>IF(ISBLANK(D14)," ",VLOOKUP($D14,CP_IMPORTE!$A$1:$C$51,2))</f>
        <v xml:space="preserve"> </v>
      </c>
      <c r="H14" s="53" t="str">
        <f ca="1">IF(F14&gt;75," ",IF(ISBLANK(C14)," ",(_xlfn.XLOOKUP($F14,EDAD_TASA!$A:$A,EDAD_TASA!$B:$B))))</f>
        <v xml:space="preserve"> </v>
      </c>
      <c r="I14" s="51" t="str">
        <f t="shared" ca="1" si="4"/>
        <v xml:space="preserve"> </v>
      </c>
      <c r="J14" s="51" t="str">
        <f ca="1">IF(F14&gt;75," ",IF(ISBLANK(C14)," ",(_xlfn.XLOOKUP($F14,EDAD_TASA!$A:$A,EDAD_TASA!$C:$C))))</f>
        <v xml:space="preserve"> </v>
      </c>
      <c r="K14" s="50" t="str">
        <f ca="1">IF($F14&gt;75," ",IF(ISBLANK(C14)," ",_xlfn.XLOOKUP($F14,EDAD_TASA!$A:$A,EDAD_TASA!$D:$D)))</f>
        <v xml:space="preserve"> </v>
      </c>
      <c r="L14" s="50" t="str">
        <f ca="1">IF(F14&gt;75," ",IF(ISBLANK(C14)," ",_xlfn.XLOOKUP($F14,EDAD_TASA!$A:$A,EDAD_TASA!$E:$E)))</f>
        <v xml:space="preserve"> </v>
      </c>
      <c r="M14" s="50" t="str">
        <f ca="1">IF(F14&gt;75," ",IF(ISBLANK(C14)," ",_xlfn.XLOOKUP($F14,EDAD_TASA!$A:$A,EDAD_TASA!$F:$F)))</f>
        <v xml:space="preserve"> </v>
      </c>
      <c r="N14" s="52" t="str">
        <f t="shared" ca="1" si="0"/>
        <v xml:space="preserve"> </v>
      </c>
      <c r="O14" s="53" t="str">
        <f t="shared" ca="1" si="1"/>
        <v xml:space="preserve"> </v>
      </c>
      <c r="P14" s="53" t="str">
        <f t="shared" ca="1" si="2"/>
        <v xml:space="preserve"> </v>
      </c>
      <c r="Q14" s="77" t="str">
        <f t="shared" si="5"/>
        <v xml:space="preserve"> </v>
      </c>
    </row>
    <row r="15" spans="2:18" ht="22.5" customHeight="1" x14ac:dyDescent="0.3">
      <c r="B15" s="66" t="s">
        <v>100</v>
      </c>
      <c r="C15" s="55"/>
      <c r="D15" s="58"/>
      <c r="E15" s="76" t="str">
        <f>IF(ISBLANK(D15)," ",_xlfn.XLOOKUP($G15,CP_IMPORTE!$B:$B,CP_IMPORTE!$C:$C))</f>
        <v xml:space="preserve"> </v>
      </c>
      <c r="F15" s="50" t="str">
        <f t="shared" ca="1" si="3"/>
        <v xml:space="preserve"> </v>
      </c>
      <c r="G15" s="50" t="str">
        <f>IF(ISBLANK(D15)," ",VLOOKUP($D15,CP_IMPORTE!$A$1:$C$51,2))</f>
        <v xml:space="preserve"> </v>
      </c>
      <c r="H15" s="53" t="str">
        <f ca="1">IF(F15&gt;75," ",IF(ISBLANK(C15)," ",(_xlfn.XLOOKUP($F15,EDAD_TASA!$A:$A,EDAD_TASA!$B:$B))))</f>
        <v xml:space="preserve"> </v>
      </c>
      <c r="I15" s="51" t="str">
        <f t="shared" ca="1" si="4"/>
        <v xml:space="preserve"> </v>
      </c>
      <c r="J15" s="51" t="str">
        <f ca="1">IF(F15&gt;75," ",IF(ISBLANK(C15)," ",(_xlfn.XLOOKUP($F15,EDAD_TASA!$A:$A,EDAD_TASA!$C:$C))))</f>
        <v xml:space="preserve"> </v>
      </c>
      <c r="K15" s="50" t="str">
        <f ca="1">IF($F15&gt;75," ",IF(ISBLANK(C15)," ",_xlfn.XLOOKUP($F15,EDAD_TASA!$A:$A,EDAD_TASA!$D:$D)))</f>
        <v xml:space="preserve"> </v>
      </c>
      <c r="L15" s="50" t="str">
        <f ca="1">IF(F15&gt;75," ",IF(ISBLANK(C15)," ",_xlfn.XLOOKUP($F15,EDAD_TASA!$A:$A,EDAD_TASA!$E:$E)))</f>
        <v xml:space="preserve"> </v>
      </c>
      <c r="M15" s="50" t="str">
        <f ca="1">IF(F15&gt;75," ",IF(ISBLANK(C15)," ",_xlfn.XLOOKUP($F15,EDAD_TASA!$A:$A,EDAD_TASA!$F:$F)))</f>
        <v xml:space="preserve"> </v>
      </c>
      <c r="N15" s="52" t="str">
        <f t="shared" ca="1" si="0"/>
        <v xml:space="preserve"> </v>
      </c>
      <c r="O15" s="53" t="str">
        <f t="shared" ca="1" si="1"/>
        <v xml:space="preserve"> </v>
      </c>
      <c r="P15" s="53" t="str">
        <f t="shared" ca="1" si="2"/>
        <v xml:space="preserve"> </v>
      </c>
      <c r="Q15" s="77" t="str">
        <f t="shared" si="5"/>
        <v xml:space="preserve"> </v>
      </c>
    </row>
    <row r="16" spans="2:18" ht="22.5" customHeight="1" x14ac:dyDescent="0.3">
      <c r="B16" s="66" t="s">
        <v>101</v>
      </c>
      <c r="C16" s="55"/>
      <c r="D16" s="58"/>
      <c r="E16" s="76" t="str">
        <f>IF(ISBLANK(D16)," ",_xlfn.XLOOKUP($G16,CP_IMPORTE!$B:$B,CP_IMPORTE!$C:$C))</f>
        <v xml:space="preserve"> </v>
      </c>
      <c r="F16" s="50" t="str">
        <f t="shared" ca="1" si="3"/>
        <v xml:space="preserve"> </v>
      </c>
      <c r="G16" s="50" t="str">
        <f>IF(ISBLANK(D16)," ",VLOOKUP($D16,CP_IMPORTE!$A$1:$C$51,2))</f>
        <v xml:space="preserve"> </v>
      </c>
      <c r="H16" s="53" t="str">
        <f ca="1">IF(F16&gt;75," ",IF(ISBLANK(C16)," ",(_xlfn.XLOOKUP($F16,EDAD_TASA!$A:$A,EDAD_TASA!$B:$B))))</f>
        <v xml:space="preserve"> </v>
      </c>
      <c r="I16" s="51" t="str">
        <f t="shared" ca="1" si="4"/>
        <v xml:space="preserve"> </v>
      </c>
      <c r="J16" s="51" t="str">
        <f ca="1">IF(F16&gt;75," ",IF(ISBLANK(C16)," ",(_xlfn.XLOOKUP($F16,EDAD_TASA!$A:$A,EDAD_TASA!$C:$C))))</f>
        <v xml:space="preserve"> </v>
      </c>
      <c r="K16" s="50" t="str">
        <f ca="1">IF($F16&gt;75," ",IF(ISBLANK(C16)," ",_xlfn.XLOOKUP($F16,EDAD_TASA!$A:$A,EDAD_TASA!$D:$D)))</f>
        <v xml:space="preserve"> </v>
      </c>
      <c r="L16" s="50" t="str">
        <f ca="1">IF(F16&gt;75," ",IF(ISBLANK(C16)," ",_xlfn.XLOOKUP($F16,EDAD_TASA!$A:$A,EDAD_TASA!$E:$E)))</f>
        <v xml:space="preserve"> </v>
      </c>
      <c r="M16" s="50" t="str">
        <f ca="1">IF(F16&gt;75," ",IF(ISBLANK(C16)," ",_xlfn.XLOOKUP($F16,EDAD_TASA!$A:$A,EDAD_TASA!$F:$F)))</f>
        <v xml:space="preserve"> </v>
      </c>
      <c r="N16" s="52" t="str">
        <f t="shared" ca="1" si="0"/>
        <v xml:space="preserve"> </v>
      </c>
      <c r="O16" s="53" t="str">
        <f t="shared" ca="1" si="1"/>
        <v xml:space="preserve"> </v>
      </c>
      <c r="P16" s="53" t="str">
        <f t="shared" ca="1" si="2"/>
        <v xml:space="preserve"> </v>
      </c>
      <c r="Q16" s="77" t="str">
        <f t="shared" si="5"/>
        <v xml:space="preserve"> </v>
      </c>
    </row>
    <row r="17" spans="2:17" ht="22.5" customHeight="1" x14ac:dyDescent="0.3">
      <c r="B17" s="66" t="s">
        <v>102</v>
      </c>
      <c r="C17" s="55"/>
      <c r="D17" s="58"/>
      <c r="E17" s="76" t="str">
        <f>IF(ISBLANK(D17)," ",_xlfn.XLOOKUP($G17,CP_IMPORTE!$B:$B,CP_IMPORTE!$C:$C))</f>
        <v xml:space="preserve"> </v>
      </c>
      <c r="F17" s="50" t="str">
        <f t="shared" ca="1" si="3"/>
        <v xml:space="preserve"> </v>
      </c>
      <c r="G17" s="50" t="str">
        <f>IF(ISBLANK(D17)," ",VLOOKUP($D17,CP_IMPORTE!$A$1:$C$51,2))</f>
        <v xml:space="preserve"> </v>
      </c>
      <c r="H17" s="53" t="str">
        <f ca="1">IF(F17&gt;75," ",IF(ISBLANK(C17)," ",(_xlfn.XLOOKUP($F17,EDAD_TASA!$A:$A,EDAD_TASA!$B:$B))))</f>
        <v xml:space="preserve"> </v>
      </c>
      <c r="I17" s="51" t="str">
        <f t="shared" ca="1" si="4"/>
        <v xml:space="preserve"> </v>
      </c>
      <c r="J17" s="51" t="str">
        <f ca="1">IF(F17&gt;75," ",IF(ISBLANK(C17)," ",(_xlfn.XLOOKUP($F17,EDAD_TASA!$A:$A,EDAD_TASA!$C:$C))))</f>
        <v xml:space="preserve"> </v>
      </c>
      <c r="K17" s="50" t="str">
        <f ca="1">IF($F17&gt;75," ",IF(ISBLANK(C17)," ",_xlfn.XLOOKUP($F17,EDAD_TASA!$A:$A,EDAD_TASA!$D:$D)))</f>
        <v xml:space="preserve"> </v>
      </c>
      <c r="L17" s="50" t="str">
        <f ca="1">IF(F17&gt;75," ",IF(ISBLANK(C17)," ",_xlfn.XLOOKUP($F17,EDAD_TASA!$A:$A,EDAD_TASA!$E:$E)))</f>
        <v xml:space="preserve"> </v>
      </c>
      <c r="M17" s="50" t="str">
        <f ca="1">IF(F17&gt;75," ",IF(ISBLANK(C17)," ",_xlfn.XLOOKUP($F17,EDAD_TASA!$A:$A,EDAD_TASA!$F:$F)))</f>
        <v xml:space="preserve"> </v>
      </c>
      <c r="N17" s="52" t="str">
        <f t="shared" ca="1" si="0"/>
        <v xml:space="preserve"> </v>
      </c>
      <c r="O17" s="53" t="str">
        <f t="shared" ca="1" si="1"/>
        <v xml:space="preserve"> </v>
      </c>
      <c r="P17" s="53" t="str">
        <f t="shared" ca="1" si="2"/>
        <v xml:space="preserve"> </v>
      </c>
      <c r="Q17" s="77" t="str">
        <f t="shared" si="5"/>
        <v xml:space="preserve"> </v>
      </c>
    </row>
    <row r="18" spans="2:17" ht="22.5" customHeight="1" x14ac:dyDescent="0.3">
      <c r="B18" s="66" t="s">
        <v>103</v>
      </c>
      <c r="C18" s="55"/>
      <c r="D18" s="58"/>
      <c r="E18" s="76" t="str">
        <f>IF(ISBLANK(D18)," ",_xlfn.XLOOKUP($G18,CP_IMPORTE!$B:$B,CP_IMPORTE!$C:$C))</f>
        <v xml:space="preserve"> </v>
      </c>
      <c r="F18" s="50" t="str">
        <f t="shared" ca="1" si="3"/>
        <v xml:space="preserve"> </v>
      </c>
      <c r="G18" s="50" t="str">
        <f>IF(ISBLANK(D18)," ",VLOOKUP($D18,CP_IMPORTE!$A$1:$C$51,2))</f>
        <v xml:space="preserve"> </v>
      </c>
      <c r="H18" s="53" t="str">
        <f ca="1">IF(F18&gt;75," ",IF(ISBLANK(C18)," ",(_xlfn.XLOOKUP($F18,EDAD_TASA!$A:$A,EDAD_TASA!$B:$B))))</f>
        <v xml:space="preserve"> </v>
      </c>
      <c r="I18" s="51" t="str">
        <f t="shared" ca="1" si="4"/>
        <v xml:space="preserve"> </v>
      </c>
      <c r="J18" s="51" t="str">
        <f ca="1">IF(F18&gt;75," ",IF(ISBLANK(C18)," ",(_xlfn.XLOOKUP($F18,EDAD_TASA!$A:$A,EDAD_TASA!$C:$C))))</f>
        <v xml:space="preserve"> </v>
      </c>
      <c r="K18" s="50" t="str">
        <f ca="1">IF($F18&gt;75," ",IF(ISBLANK(C18)," ",_xlfn.XLOOKUP($F18,EDAD_TASA!$A:$A,EDAD_TASA!$D:$D)))</f>
        <v xml:space="preserve"> </v>
      </c>
      <c r="L18" s="50" t="str">
        <f ca="1">IF(F18&gt;75," ",IF(ISBLANK(C18)," ",_xlfn.XLOOKUP($F18,EDAD_TASA!$A:$A,EDAD_TASA!$E:$E)))</f>
        <v xml:space="preserve"> </v>
      </c>
      <c r="M18" s="50" t="str">
        <f ca="1">IF(F18&gt;75," ",IF(ISBLANK(C18)," ",_xlfn.XLOOKUP($F18,EDAD_TASA!$A:$A,EDAD_TASA!$F:$F)))</f>
        <v xml:space="preserve"> </v>
      </c>
      <c r="N18" s="52" t="str">
        <f t="shared" ca="1" si="0"/>
        <v xml:space="preserve"> </v>
      </c>
      <c r="O18" s="53" t="str">
        <f t="shared" ca="1" si="1"/>
        <v xml:space="preserve"> </v>
      </c>
      <c r="P18" s="53" t="str">
        <f t="shared" ca="1" si="2"/>
        <v xml:space="preserve"> </v>
      </c>
      <c r="Q18" s="77" t="str">
        <f t="shared" si="5"/>
        <v xml:space="preserve"> </v>
      </c>
    </row>
    <row r="19" spans="2:17" ht="22.5" customHeight="1" x14ac:dyDescent="0.3">
      <c r="B19" s="66" t="s">
        <v>104</v>
      </c>
      <c r="C19" s="55"/>
      <c r="D19" s="58"/>
      <c r="E19" s="76" t="str">
        <f>IF(ISBLANK(D19)," ",_xlfn.XLOOKUP($G19,CP_IMPORTE!$B:$B,CP_IMPORTE!$C:$C))</f>
        <v xml:space="preserve"> </v>
      </c>
      <c r="F19" s="50" t="str">
        <f t="shared" ca="1" si="3"/>
        <v xml:space="preserve"> </v>
      </c>
      <c r="G19" s="50" t="str">
        <f>IF(ISBLANK(D19)," ",VLOOKUP($D19,CP_IMPORTE!$A$1:$C$51,2))</f>
        <v xml:space="preserve"> </v>
      </c>
      <c r="H19" s="53" t="str">
        <f ca="1">IF(F19&gt;75," ",IF(ISBLANK(C19)," ",(_xlfn.XLOOKUP($F19,EDAD_TASA!$A:$A,EDAD_TASA!$B:$B))))</f>
        <v xml:space="preserve"> </v>
      </c>
      <c r="I19" s="51" t="str">
        <f t="shared" ca="1" si="4"/>
        <v xml:space="preserve"> </v>
      </c>
      <c r="J19" s="51" t="str">
        <f ca="1">IF(F19&gt;75," ",IF(ISBLANK(C19)," ",(_xlfn.XLOOKUP($F19,EDAD_TASA!$A:$A,EDAD_TASA!$C:$C))))</f>
        <v xml:space="preserve"> </v>
      </c>
      <c r="K19" s="50" t="str">
        <f ca="1">IF($F19&gt;75," ",IF(ISBLANK(C19)," ",_xlfn.XLOOKUP($F19,EDAD_TASA!$A:$A,EDAD_TASA!$D:$D)))</f>
        <v xml:space="preserve"> </v>
      </c>
      <c r="L19" s="50" t="str">
        <f ca="1">IF(F19&gt;75," ",IF(ISBLANK(C19)," ",_xlfn.XLOOKUP($F19,EDAD_TASA!$A:$A,EDAD_TASA!$E:$E)))</f>
        <v xml:space="preserve"> </v>
      </c>
      <c r="M19" s="50" t="str">
        <f ca="1">IF(F19&gt;75," ",IF(ISBLANK(C19)," ",_xlfn.XLOOKUP($F19,EDAD_TASA!$A:$A,EDAD_TASA!$F:$F)))</f>
        <v xml:space="preserve"> </v>
      </c>
      <c r="N19" s="52" t="str">
        <f t="shared" ca="1" si="0"/>
        <v xml:space="preserve"> </v>
      </c>
      <c r="O19" s="53" t="str">
        <f t="shared" ca="1" si="1"/>
        <v xml:space="preserve"> </v>
      </c>
      <c r="P19" s="53" t="str">
        <f t="shared" ca="1" si="2"/>
        <v xml:space="preserve"> </v>
      </c>
      <c r="Q19" s="77" t="str">
        <f t="shared" si="5"/>
        <v xml:space="preserve"> </v>
      </c>
    </row>
    <row r="20" spans="2:17" ht="22.5" customHeight="1" x14ac:dyDescent="0.3">
      <c r="B20" s="66" t="s">
        <v>105</v>
      </c>
      <c r="C20" s="55"/>
      <c r="D20" s="58"/>
      <c r="E20" s="76" t="str">
        <f>IF(ISBLANK(D20)," ",_xlfn.XLOOKUP($G20,CP_IMPORTE!$B:$B,CP_IMPORTE!$C:$C))</f>
        <v xml:space="preserve"> </v>
      </c>
      <c r="F20" s="50" t="str">
        <f t="shared" ca="1" si="3"/>
        <v xml:space="preserve"> </v>
      </c>
      <c r="G20" s="50" t="str">
        <f>IF(ISBLANK(D20)," ",VLOOKUP($D20,CP_IMPORTE!$A$1:$C$51,2))</f>
        <v xml:space="preserve"> </v>
      </c>
      <c r="H20" s="53" t="str">
        <f ca="1">IF(F20&gt;75," ",IF(ISBLANK(C20)," ",(_xlfn.XLOOKUP($F20,EDAD_TASA!$A:$A,EDAD_TASA!$B:$B))))</f>
        <v xml:space="preserve"> </v>
      </c>
      <c r="I20" s="51" t="str">
        <f t="shared" ca="1" si="4"/>
        <v xml:space="preserve"> </v>
      </c>
      <c r="J20" s="51" t="str">
        <f ca="1">IF(F20&gt;75," ",IF(ISBLANK(C20)," ",(_xlfn.XLOOKUP($F20,EDAD_TASA!$A:$A,EDAD_TASA!$C:$C))))</f>
        <v xml:space="preserve"> </v>
      </c>
      <c r="K20" s="50" t="str">
        <f ca="1">IF($F20&gt;75," ",IF(ISBLANK(C20)," ",_xlfn.XLOOKUP($F20,EDAD_TASA!$A:$A,EDAD_TASA!$D:$D)))</f>
        <v xml:space="preserve"> </v>
      </c>
      <c r="L20" s="50" t="str">
        <f ca="1">IF(F20&gt;75," ",IF(ISBLANK(C20)," ",_xlfn.XLOOKUP($F20,EDAD_TASA!$A:$A,EDAD_TASA!$E:$E)))</f>
        <v xml:space="preserve"> </v>
      </c>
      <c r="M20" s="50" t="str">
        <f ca="1">IF(F20&gt;75," ",IF(ISBLANK(C20)," ",_xlfn.XLOOKUP($F20,EDAD_TASA!$A:$A,EDAD_TASA!$F:$F)))</f>
        <v xml:space="preserve"> </v>
      </c>
      <c r="N20" s="52" t="str">
        <f t="shared" ca="1" si="0"/>
        <v xml:space="preserve"> </v>
      </c>
      <c r="O20" s="53" t="str">
        <f t="shared" ca="1" si="1"/>
        <v xml:space="preserve"> </v>
      </c>
      <c r="P20" s="53" t="str">
        <f t="shared" ca="1" si="2"/>
        <v xml:space="preserve"> </v>
      </c>
      <c r="Q20" s="77" t="str">
        <f t="shared" si="5"/>
        <v xml:space="preserve"> </v>
      </c>
    </row>
    <row r="21" spans="2:17" ht="27.75" customHeight="1" x14ac:dyDescent="0.35">
      <c r="B21" s="59" t="s">
        <v>91</v>
      </c>
      <c r="C21" s="5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60">
        <f>SUM(Q11:Q20)</f>
        <v>0</v>
      </c>
    </row>
    <row r="22" spans="2:17" ht="27.75" customHeight="1" x14ac:dyDescent="0.35">
      <c r="B22" s="59"/>
      <c r="C22" s="5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60"/>
    </row>
    <row r="23" spans="2:17" x14ac:dyDescent="0.3">
      <c r="K23" s="54"/>
    </row>
    <row r="24" spans="2:17" ht="18" x14ac:dyDescent="0.3">
      <c r="B24" s="85" t="s">
        <v>111</v>
      </c>
      <c r="C24" s="86"/>
    </row>
    <row r="25" spans="2:17" ht="18.75" customHeight="1" x14ac:dyDescent="0.3">
      <c r="B25" s="83" t="s">
        <v>108</v>
      </c>
      <c r="C25" s="84"/>
    </row>
    <row r="26" spans="2:17" ht="18.75" customHeight="1" x14ac:dyDescent="0.3">
      <c r="B26" s="81" t="s">
        <v>113</v>
      </c>
      <c r="C26" s="82"/>
    </row>
    <row r="27" spans="2:17" ht="19.5" customHeight="1" x14ac:dyDescent="0.3">
      <c r="B27" s="81" t="s">
        <v>109</v>
      </c>
      <c r="C27" s="82"/>
    </row>
    <row r="28" spans="2:17" ht="19.5" customHeight="1" x14ac:dyDescent="0.3">
      <c r="B28" s="79" t="s">
        <v>112</v>
      </c>
      <c r="C28" s="80"/>
    </row>
    <row r="29" spans="2:17" x14ac:dyDescent="0.3">
      <c r="C29" s="68"/>
    </row>
    <row r="31" spans="2:17" ht="12.75" customHeight="1" x14ac:dyDescent="0.3">
      <c r="B31" s="67" t="s">
        <v>106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2:17" ht="11.25" customHeight="1" x14ac:dyDescent="0.3">
      <c r="B32" s="67" t="s">
        <v>107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3:17" x14ac:dyDescent="0.3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</sheetData>
  <sheetProtection algorithmName="SHA-512" hashValue="wqJ7zX35XaAGHaxBWBuSXpy2pDX8xvcFZA+/J+XPyFg1z53tFT9m7oNYuvg0gCKtrSaQtDnsH2M889UkBIO25A==" saltValue="5njIrOVlamt7V/phWs7ntQ==" spinCount="100000" sheet="1" selectLockedCells="1"/>
  <mergeCells count="6">
    <mergeCell ref="B8:R8"/>
    <mergeCell ref="B28:C28"/>
    <mergeCell ref="B27:C27"/>
    <mergeCell ref="B26:C26"/>
    <mergeCell ref="B25:C25"/>
    <mergeCell ref="B24:C24"/>
  </mergeCells>
  <phoneticPr fontId="4" type="noConversion"/>
  <hyperlinks>
    <hyperlink ref="D4" r:id="rId1" xr:uid="{6D154A80-F839-498F-B2DA-EC52F9038018}"/>
  </hyperlink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5DECF6-0E36-4576-BCF6-8D35B7DB53C1}">
          <x14:formula1>
            <xm:f>CP_IMPORTE!$A$2:$A$51</xm:f>
          </x14:formula1>
          <xm:sqref>D11:D20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A6CF-B823-46A7-B3C1-42A88CF56323}">
  <sheetPr codeName="Hoja5"/>
  <dimension ref="B7:Q17"/>
  <sheetViews>
    <sheetView workbookViewId="0">
      <selection activeCell="I7" sqref="I7:M7"/>
    </sheetView>
  </sheetViews>
  <sheetFormatPr baseColWidth="10" defaultRowHeight="14.4" x14ac:dyDescent="0.3"/>
  <cols>
    <col min="4" max="4" width="19.6640625" customWidth="1"/>
    <col min="5" max="5" width="6.44140625" bestFit="1" customWidth="1"/>
  </cols>
  <sheetData>
    <row r="7" spans="2:17" ht="31.2" x14ac:dyDescent="0.3">
      <c r="B7" s="26" t="s">
        <v>71</v>
      </c>
      <c r="C7" s="35" t="s">
        <v>66</v>
      </c>
      <c r="D7" s="26" t="s">
        <v>72</v>
      </c>
      <c r="E7" s="36" t="s">
        <v>67</v>
      </c>
      <c r="F7" s="36" t="s">
        <v>68</v>
      </c>
      <c r="G7" s="36" t="s">
        <v>70</v>
      </c>
      <c r="H7" s="36" t="s">
        <v>59</v>
      </c>
      <c r="I7" s="36" t="s">
        <v>69</v>
      </c>
      <c r="J7" s="37" t="s">
        <v>54</v>
      </c>
      <c r="K7" s="36" t="s">
        <v>55</v>
      </c>
      <c r="L7" s="36" t="s">
        <v>56</v>
      </c>
      <c r="M7" s="36" t="s">
        <v>57</v>
      </c>
      <c r="N7" s="38" t="s">
        <v>73</v>
      </c>
      <c r="O7" s="38" t="s">
        <v>64</v>
      </c>
      <c r="P7" s="39" t="s">
        <v>65</v>
      </c>
      <c r="Q7" s="32" t="s">
        <v>63</v>
      </c>
    </row>
    <row r="8" spans="2:17" x14ac:dyDescent="0.3">
      <c r="B8" s="24" t="s">
        <v>74</v>
      </c>
      <c r="C8" s="25">
        <v>23805</v>
      </c>
      <c r="D8" s="23">
        <v>15</v>
      </c>
      <c r="E8" s="28">
        <f ca="1">ROUNDDOWN((TODAY()-C8)/365,0)</f>
        <v>59</v>
      </c>
      <c r="F8" s="28" t="str">
        <f>VLOOKUP($D8,CP_IMPORTE!$A$1:$C$51,2)</f>
        <v>LA CORUÑA</v>
      </c>
      <c r="G8" s="29">
        <f>_xlfn.XLOOKUP($F8,CP_IMPORTE!$B:$B,CP_IMPORTE!$C:$C)</f>
        <v>4400</v>
      </c>
      <c r="H8" s="30">
        <f ca="1">_xlfn.XLOOKUP($E8,EDAD_TASA!$A:$A,EDAD_TASA!$B:$B)</f>
        <v>17.630123000000001</v>
      </c>
      <c r="I8" s="30">
        <f t="shared" ref="I8:I16" ca="1" si="0">G8*H8/1000</f>
        <v>77.572541200000003</v>
      </c>
      <c r="J8" s="30">
        <f ca="1">_xlfn.XLOOKUP($E8,EDAD_TASA!$A:$A,EDAD_TASA!$C:$C)</f>
        <v>2.908970295</v>
      </c>
      <c r="K8" s="28">
        <f ca="1">_xlfn.XLOOKUP($E8,EDAD_TASA!$A:$A,EDAD_TASA!$D:$D)</f>
        <v>1.27</v>
      </c>
      <c r="L8" s="28">
        <f ca="1">_xlfn.XLOOKUP($E8,EDAD_TASA!$A:$A,EDAD_TASA!$E:$E)</f>
        <v>0.56000000000000005</v>
      </c>
      <c r="M8" s="28">
        <f ca="1">_xlfn.XLOOKUP($E8,EDAD_TASA!$A:$A,EDAD_TASA!$F:$F)</f>
        <v>7.4</v>
      </c>
      <c r="N8" s="31">
        <f t="shared" ref="N8:N16" ca="1" si="1">SUM(I8:M8)</f>
        <v>89.711511495000011</v>
      </c>
      <c r="O8" s="31">
        <f t="shared" ref="O8:O16" ca="1" si="2">N8*0.08</f>
        <v>7.1769209196000006</v>
      </c>
      <c r="P8" s="31">
        <f ca="1">N8*0.015</f>
        <v>1.3456726724250001</v>
      </c>
      <c r="Q8" s="40">
        <f ca="1">IFERROR(SUM(N8:P8),0)</f>
        <v>98.234105087025</v>
      </c>
    </row>
    <row r="9" spans="2:17" x14ac:dyDescent="0.3">
      <c r="B9" s="24" t="s">
        <v>74</v>
      </c>
      <c r="C9" s="25">
        <v>23805</v>
      </c>
      <c r="D9" s="23">
        <v>15</v>
      </c>
      <c r="E9" s="28">
        <f t="shared" ref="E9:E16" ca="1" si="3">ROUNDDOWN((TODAY()-C9)/365,0)</f>
        <v>59</v>
      </c>
      <c r="F9" s="28" t="str">
        <f>VLOOKUP($D9,CP_IMPORTE!$A$1:$C$51,2)</f>
        <v>LA CORUÑA</v>
      </c>
      <c r="G9" s="29">
        <f>_xlfn.XLOOKUP($F9,CP_IMPORTE!$B:$B,CP_IMPORTE!$C:$C)</f>
        <v>4400</v>
      </c>
      <c r="H9" s="30">
        <f ca="1">_xlfn.XLOOKUP($E9,EDAD_TASA!$A:$A,EDAD_TASA!$B:$B)</f>
        <v>17.630123000000001</v>
      </c>
      <c r="I9" s="30">
        <f t="shared" ca="1" si="0"/>
        <v>77.572541200000003</v>
      </c>
      <c r="J9" s="30">
        <f ca="1">_xlfn.XLOOKUP($E9,EDAD_TASA!$A:$A,EDAD_TASA!$C:$C)</f>
        <v>2.908970295</v>
      </c>
      <c r="K9" s="28">
        <f ca="1">_xlfn.XLOOKUP($E9,EDAD_TASA!$A:$A,EDAD_TASA!$D:$D)</f>
        <v>1.27</v>
      </c>
      <c r="L9" s="28">
        <f ca="1">_xlfn.XLOOKUP($E9,EDAD_TASA!$A:$A,EDAD_TASA!$E:$E)</f>
        <v>0.56000000000000005</v>
      </c>
      <c r="M9" s="28">
        <f ca="1">_xlfn.XLOOKUP($E9,EDAD_TASA!$A:$A,EDAD_TASA!$F:$F)</f>
        <v>7.4</v>
      </c>
      <c r="N9" s="31">
        <f t="shared" ca="1" si="1"/>
        <v>89.711511495000011</v>
      </c>
      <c r="O9" s="31">
        <f t="shared" ca="1" si="2"/>
        <v>7.1769209196000006</v>
      </c>
      <c r="P9" s="31">
        <f ca="1">N9*0.015</f>
        <v>1.3456726724250001</v>
      </c>
      <c r="Q9" s="40">
        <f t="shared" ref="Q9:Q16" ca="1" si="4">IFERROR(SUM(N9:P9),0)</f>
        <v>98.234105087025</v>
      </c>
    </row>
    <row r="10" spans="2:17" x14ac:dyDescent="0.3">
      <c r="B10" s="24" t="s">
        <v>75</v>
      </c>
      <c r="C10" s="25">
        <v>38180</v>
      </c>
      <c r="D10" s="23">
        <v>24</v>
      </c>
      <c r="E10" s="28">
        <f ca="1">ROUNDDOWN((TODAY()-C10)/365,0)</f>
        <v>19</v>
      </c>
      <c r="F10" s="28" t="str">
        <f>VLOOKUP($D10,CP_IMPORTE!$A$1:$C$51,2)</f>
        <v>LEON (CASTILLA Y LEON)</v>
      </c>
      <c r="G10" s="29">
        <f>_xlfn.XLOOKUP($F10,CP_IMPORTE!$B:$B,CP_IMPORTE!$C:$C)</f>
        <v>4300</v>
      </c>
      <c r="H10" s="30">
        <f ca="1">_xlfn.XLOOKUP($E10,EDAD_TASA!$A:$A,EDAD_TASA!$B:$B)</f>
        <v>0.88854999999999995</v>
      </c>
      <c r="I10" s="30">
        <f t="shared" ca="1" si="0"/>
        <v>3.8207649999999997</v>
      </c>
      <c r="J10" s="30">
        <f ca="1">_xlfn.XLOOKUP($E10,EDAD_TASA!$A:$A,EDAD_TASA!$C:$C)</f>
        <v>0.14661074999999998</v>
      </c>
      <c r="K10" s="28">
        <f ca="1">_xlfn.XLOOKUP($E10,EDAD_TASA!$A:$A,EDAD_TASA!$D:$D)</f>
        <v>1.27</v>
      </c>
      <c r="L10" s="28">
        <f ca="1">_xlfn.XLOOKUP($E10,EDAD_TASA!$A:$A,EDAD_TASA!$E:$E)</f>
        <v>0.56000000000000005</v>
      </c>
      <c r="M10" s="28">
        <f ca="1">_xlfn.XLOOKUP($E10,EDAD_TASA!$A:$A,EDAD_TASA!$F:$F)</f>
        <v>7.4</v>
      </c>
      <c r="N10" s="31">
        <f t="shared" ca="1" si="1"/>
        <v>13.197375750000001</v>
      </c>
      <c r="O10" s="31">
        <f t="shared" ca="1" si="2"/>
        <v>1.0557900600000001</v>
      </c>
      <c r="P10" s="31">
        <f t="shared" ref="P10:P16" ca="1" si="5">N10*0.015</f>
        <v>0.19796063625000002</v>
      </c>
      <c r="Q10" s="40">
        <f t="shared" ca="1" si="4"/>
        <v>14.451126446250001</v>
      </c>
    </row>
    <row r="11" spans="2:17" x14ac:dyDescent="0.3">
      <c r="B11" s="24" t="s">
        <v>76</v>
      </c>
      <c r="C11" s="25">
        <v>45161</v>
      </c>
      <c r="D11" s="23">
        <v>1</v>
      </c>
      <c r="E11" s="28">
        <f ca="1">ROUNDDOWN((TODAY()-C11)/365,0)</f>
        <v>0</v>
      </c>
      <c r="F11" s="28" t="e">
        <f>VLOOKUP($D11,CP_IMPORTE!$A$1:$C$51,2)</f>
        <v>#N/A</v>
      </c>
      <c r="G11" s="29" t="e">
        <f>_xlfn.XLOOKUP($F11,CP_IMPORTE!$B:$B,CP_IMPORTE!$C:$C)</f>
        <v>#N/A</v>
      </c>
      <c r="H11" s="30">
        <f ca="1">_xlfn.XLOOKUP($E11,EDAD_TASA!$A:$A,EDAD_TASA!$B:$B)</f>
        <v>0.88072799999999996</v>
      </c>
      <c r="I11" s="30" t="e">
        <f t="shared" ca="1" si="0"/>
        <v>#N/A</v>
      </c>
      <c r="J11" s="30">
        <f ca="1">_xlfn.XLOOKUP($E11,EDAD_TASA!$A:$A,EDAD_TASA!$C:$C)</f>
        <v>0.14532012</v>
      </c>
      <c r="K11" s="28">
        <f ca="1">_xlfn.XLOOKUP($E11,EDAD_TASA!$A:$A,EDAD_TASA!$D:$D)</f>
        <v>1.27</v>
      </c>
      <c r="L11" s="28">
        <f ca="1">_xlfn.XLOOKUP($E11,EDAD_TASA!$A:$A,EDAD_TASA!$E:$E)</f>
        <v>0.56000000000000005</v>
      </c>
      <c r="M11" s="28">
        <f ca="1">_xlfn.XLOOKUP($E11,EDAD_TASA!$A:$A,EDAD_TASA!$F:$F)</f>
        <v>7.4</v>
      </c>
      <c r="N11" s="31" t="e">
        <f t="shared" ca="1" si="1"/>
        <v>#N/A</v>
      </c>
      <c r="O11" s="31" t="e">
        <f ca="1">N11*0.08</f>
        <v>#N/A</v>
      </c>
      <c r="P11" s="31" t="e">
        <f t="shared" ca="1" si="5"/>
        <v>#N/A</v>
      </c>
      <c r="Q11" s="40">
        <f t="shared" ca="1" si="4"/>
        <v>0</v>
      </c>
    </row>
    <row r="12" spans="2:17" x14ac:dyDescent="0.3">
      <c r="B12" s="24" t="s">
        <v>77</v>
      </c>
      <c r="C12" s="25">
        <v>36274</v>
      </c>
      <c r="D12" s="23">
        <v>34</v>
      </c>
      <c r="E12" s="28">
        <f t="shared" ca="1" si="3"/>
        <v>24</v>
      </c>
      <c r="F12" s="28" t="str">
        <f>VLOOKUP($D12,CP_IMPORTE!$A$1:$C$51,2)</f>
        <v>PALENCIA (CASTILLA Y LEÓN)</v>
      </c>
      <c r="G12" s="29">
        <f>_xlfn.XLOOKUP($F12,CP_IMPORTE!$B:$B,CP_IMPORTE!$C:$C)</f>
        <v>4300</v>
      </c>
      <c r="H12" s="30">
        <f ca="1">_xlfn.XLOOKUP($E12,EDAD_TASA!$A:$A,EDAD_TASA!$B:$B)</f>
        <v>0.999193</v>
      </c>
      <c r="I12" s="30">
        <f t="shared" ca="1" si="0"/>
        <v>4.2965298999999995</v>
      </c>
      <c r="J12" s="30">
        <f ca="1">_xlfn.XLOOKUP($E12,EDAD_TASA!$A:$A,EDAD_TASA!$C:$C)</f>
        <v>0.16486684500000001</v>
      </c>
      <c r="K12" s="28">
        <f ca="1">_xlfn.XLOOKUP($E12,EDAD_TASA!$A:$A,EDAD_TASA!$D:$D)</f>
        <v>1.27</v>
      </c>
      <c r="L12" s="28">
        <f ca="1">_xlfn.XLOOKUP($E12,EDAD_TASA!$A:$A,EDAD_TASA!$E:$E)</f>
        <v>0.56000000000000005</v>
      </c>
      <c r="M12" s="28">
        <f ca="1">_xlfn.XLOOKUP($E12,EDAD_TASA!$A:$A,EDAD_TASA!$F:$F)</f>
        <v>7.4</v>
      </c>
      <c r="N12" s="31">
        <f t="shared" ca="1" si="1"/>
        <v>13.691396745</v>
      </c>
      <c r="O12" s="31">
        <f t="shared" ca="1" si="2"/>
        <v>1.0953117396000001</v>
      </c>
      <c r="P12" s="31">
        <f t="shared" ca="1" si="5"/>
        <v>0.20537095117500001</v>
      </c>
      <c r="Q12" s="40">
        <f t="shared" ca="1" si="4"/>
        <v>14.992079435775</v>
      </c>
    </row>
    <row r="13" spans="2:17" x14ac:dyDescent="0.3">
      <c r="B13" s="24" t="s">
        <v>78</v>
      </c>
      <c r="C13" s="25">
        <v>32299</v>
      </c>
      <c r="D13" s="23">
        <v>23</v>
      </c>
      <c r="E13" s="28">
        <f t="shared" ca="1" si="3"/>
        <v>35</v>
      </c>
      <c r="F13" s="28" t="str">
        <f>VLOOKUP($D13,CP_IMPORTE!$A$1:$C$51,2)</f>
        <v>JAEN (ANDALUCIA)</v>
      </c>
      <c r="G13" s="29">
        <f>_xlfn.XLOOKUP($F13,CP_IMPORTE!$B:$B,CP_IMPORTE!$C:$C)</f>
        <v>4000</v>
      </c>
      <c r="H13" s="30">
        <f ca="1">_xlfn.XLOOKUP($E13,EDAD_TASA!$A:$A,EDAD_TASA!$B:$B)</f>
        <v>1.132388</v>
      </c>
      <c r="I13" s="30">
        <f t="shared" ca="1" si="0"/>
        <v>4.5295519999999998</v>
      </c>
      <c r="J13" s="30">
        <f ca="1">_xlfn.XLOOKUP($E13,EDAD_TASA!$A:$A,EDAD_TASA!$C:$C)</f>
        <v>0.18684402</v>
      </c>
      <c r="K13" s="28">
        <f ca="1">_xlfn.XLOOKUP($E13,EDAD_TASA!$A:$A,EDAD_TASA!$D:$D)</f>
        <v>1.27</v>
      </c>
      <c r="L13" s="28">
        <f ca="1">_xlfn.XLOOKUP($E13,EDAD_TASA!$A:$A,EDAD_TASA!$E:$E)</f>
        <v>0.56000000000000005</v>
      </c>
      <c r="M13" s="28">
        <f ca="1">_xlfn.XLOOKUP($E13,EDAD_TASA!$A:$A,EDAD_TASA!$F:$F)</f>
        <v>7.4</v>
      </c>
      <c r="N13" s="31">
        <f t="shared" ca="1" si="1"/>
        <v>13.94639602</v>
      </c>
      <c r="O13" s="31">
        <f t="shared" ca="1" si="2"/>
        <v>1.1157116816000001</v>
      </c>
      <c r="P13" s="31">
        <f t="shared" ca="1" si="5"/>
        <v>0.20919594029999999</v>
      </c>
      <c r="Q13" s="40">
        <f t="shared" ca="1" si="4"/>
        <v>15.271303641900001</v>
      </c>
    </row>
    <row r="14" spans="2:17" x14ac:dyDescent="0.3">
      <c r="B14" s="24" t="s">
        <v>79</v>
      </c>
      <c r="C14" s="25">
        <v>36326</v>
      </c>
      <c r="D14" s="23">
        <v>11</v>
      </c>
      <c r="E14" s="28">
        <f t="shared" ca="1" si="3"/>
        <v>24</v>
      </c>
      <c r="F14" s="28" t="str">
        <f>VLOOKUP($D14,CP_IMPORTE!$A$1:$C$51,2)</f>
        <v>CADIZ (ANDALUCIA)</v>
      </c>
      <c r="G14" s="29">
        <f>_xlfn.XLOOKUP($F14,CP_IMPORTE!$B:$B,CP_IMPORTE!$C:$C)</f>
        <v>3900</v>
      </c>
      <c r="H14" s="30">
        <f ca="1">_xlfn.XLOOKUP($E14,EDAD_TASA!$A:$A,EDAD_TASA!$B:$B)</f>
        <v>0.999193</v>
      </c>
      <c r="I14" s="30">
        <f t="shared" ca="1" si="0"/>
        <v>3.8968526999999997</v>
      </c>
      <c r="J14" s="30">
        <f ca="1">_xlfn.XLOOKUP($E14,EDAD_TASA!$A:$A,EDAD_TASA!$C:$C)</f>
        <v>0.16486684500000001</v>
      </c>
      <c r="K14" s="28">
        <f ca="1">_xlfn.XLOOKUP($E14,EDAD_TASA!$A:$A,EDAD_TASA!$D:$D)</f>
        <v>1.27</v>
      </c>
      <c r="L14" s="28">
        <f ca="1">_xlfn.XLOOKUP($E14,EDAD_TASA!$A:$A,EDAD_TASA!$E:$E)</f>
        <v>0.56000000000000005</v>
      </c>
      <c r="M14" s="28">
        <f ca="1">_xlfn.XLOOKUP($E14,EDAD_TASA!$A:$A,EDAD_TASA!$F:$F)</f>
        <v>7.4</v>
      </c>
      <c r="N14" s="31">
        <f t="shared" ca="1" si="1"/>
        <v>13.291719545000001</v>
      </c>
      <c r="O14" s="31">
        <f t="shared" ca="1" si="2"/>
        <v>1.0633375636000002</v>
      </c>
      <c r="P14" s="31">
        <f t="shared" ca="1" si="5"/>
        <v>0.19937579317500001</v>
      </c>
      <c r="Q14" s="40">
        <f t="shared" ca="1" si="4"/>
        <v>14.554432901775</v>
      </c>
    </row>
    <row r="15" spans="2:17" x14ac:dyDescent="0.3">
      <c r="B15" s="24" t="s">
        <v>80</v>
      </c>
      <c r="C15" s="25">
        <v>28026</v>
      </c>
      <c r="D15" s="23">
        <v>45</v>
      </c>
      <c r="E15" s="28">
        <f t="shared" ca="1" si="3"/>
        <v>47</v>
      </c>
      <c r="F15" s="28" t="str">
        <f>VLOOKUP($D15,CP_IMPORTE!$A$1:$C$51,2)</f>
        <v>TOLEDO (CASTILLA LA MANCHA)</v>
      </c>
      <c r="G15" s="29">
        <f>_xlfn.XLOOKUP($F15,CP_IMPORTE!$B:$B,CP_IMPORTE!$C:$C)</f>
        <v>4400</v>
      </c>
      <c r="H15" s="30">
        <f ca="1">_xlfn.XLOOKUP($E15,EDAD_TASA!$A:$A,EDAD_TASA!$B:$B)</f>
        <v>5.1302149999999997</v>
      </c>
      <c r="I15" s="30">
        <f t="shared" ca="1" si="0"/>
        <v>22.572945999999998</v>
      </c>
      <c r="J15" s="30">
        <f ca="1">_xlfn.XLOOKUP($E15,EDAD_TASA!$A:$A,EDAD_TASA!$C:$C)</f>
        <v>0.84648547499999993</v>
      </c>
      <c r="K15" s="28">
        <f ca="1">_xlfn.XLOOKUP($E15,EDAD_TASA!$A:$A,EDAD_TASA!$D:$D)</f>
        <v>1.27</v>
      </c>
      <c r="L15" s="28">
        <f ca="1">_xlfn.XLOOKUP($E15,EDAD_TASA!$A:$A,EDAD_TASA!$E:$E)</f>
        <v>0.56000000000000005</v>
      </c>
      <c r="M15" s="28">
        <f ca="1">_xlfn.XLOOKUP($E15,EDAD_TASA!$A:$A,EDAD_TASA!$F:$F)</f>
        <v>7.4</v>
      </c>
      <c r="N15" s="31">
        <f t="shared" ca="1" si="1"/>
        <v>32.649431475</v>
      </c>
      <c r="O15" s="31">
        <f t="shared" ca="1" si="2"/>
        <v>2.6119545180000001</v>
      </c>
      <c r="P15" s="31">
        <f t="shared" ca="1" si="5"/>
        <v>0.48974147212499997</v>
      </c>
      <c r="Q15" s="40">
        <f t="shared" ca="1" si="4"/>
        <v>35.751127465124995</v>
      </c>
    </row>
    <row r="16" spans="2:17" ht="15" thickBot="1" x14ac:dyDescent="0.35">
      <c r="B16" s="41" t="s">
        <v>81</v>
      </c>
      <c r="C16" s="42">
        <v>37256</v>
      </c>
      <c r="D16" s="43">
        <v>33</v>
      </c>
      <c r="E16" s="44">
        <f t="shared" ca="1" si="3"/>
        <v>22</v>
      </c>
      <c r="F16" s="44" t="str">
        <f>VLOOKUP($D16,CP_IMPORTE!$A$1:$C$51,2)</f>
        <v>ASTURIAS (PRINCIPADO DE ASTURIAS)</v>
      </c>
      <c r="G16" s="45">
        <f>_xlfn.XLOOKUP($F16,CP_IMPORTE!$B:$B,CP_IMPORTE!$C:$C)</f>
        <v>4500</v>
      </c>
      <c r="H16" s="46">
        <f ca="1">_xlfn.XLOOKUP($E16,EDAD_TASA!$A:$A,EDAD_TASA!$B:$B)</f>
        <v>0.95415000000000005</v>
      </c>
      <c r="I16" s="46">
        <f t="shared" ca="1" si="0"/>
        <v>4.2936750000000004</v>
      </c>
      <c r="J16" s="46">
        <f ca="1">_xlfn.XLOOKUP($E16,EDAD_TASA!$A:$A,EDAD_TASA!$C:$C)</f>
        <v>0.15743475000000001</v>
      </c>
      <c r="K16" s="44">
        <f ca="1">_xlfn.XLOOKUP($E16,EDAD_TASA!$A:$A,EDAD_TASA!$D:$D)</f>
        <v>1.27</v>
      </c>
      <c r="L16" s="44">
        <f ca="1">_xlfn.XLOOKUP($E16,EDAD_TASA!$A:$A,EDAD_TASA!$E:$E)</f>
        <v>0.56000000000000005</v>
      </c>
      <c r="M16" s="44">
        <f ca="1">_xlfn.XLOOKUP($E16,EDAD_TASA!$A:$A,EDAD_TASA!$F:$F)</f>
        <v>7.4</v>
      </c>
      <c r="N16" s="47">
        <f t="shared" ca="1" si="1"/>
        <v>13.681109750000001</v>
      </c>
      <c r="O16" s="47">
        <f t="shared" ca="1" si="2"/>
        <v>1.09448878</v>
      </c>
      <c r="P16" s="47">
        <f t="shared" ca="1" si="5"/>
        <v>0.20521664625</v>
      </c>
      <c r="Q16" s="48">
        <f t="shared" ca="1" si="4"/>
        <v>14.980815176250001</v>
      </c>
    </row>
    <row r="17" spans="2:17" ht="15" thickBot="1" x14ac:dyDescent="0.35">
      <c r="B17" s="27"/>
      <c r="C17" s="34"/>
      <c r="D17" s="2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9">
        <f ca="1">SUM(Q8:Q16)</f>
        <v>306.46909524112499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Prima total Anual </vt:lpstr>
      <vt:lpstr>'Prima total Anual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 Carrera Calderer</dc:creator>
  <cp:lastModifiedBy>Carme Carrera Calderer</cp:lastModifiedBy>
  <cp:lastPrinted>2024-03-11T10:38:22Z</cp:lastPrinted>
  <dcterms:created xsi:type="dcterms:W3CDTF">2024-01-24T11:32:49Z</dcterms:created>
  <dcterms:modified xsi:type="dcterms:W3CDTF">2024-03-12T08:48:54Z</dcterms:modified>
</cp:coreProperties>
</file>